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4\MATRICES RIESGOS SEGUIMIENTO 31-12-2023\"/>
    </mc:Choice>
  </mc:AlternateContent>
  <bookViews>
    <workbookView xWindow="0" yWindow="0" windowWidth="20490" windowHeight="7650"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7" i="1"/>
  <c r="K63" i="1"/>
  <c r="K55" i="1"/>
  <c r="K25" i="1"/>
  <c r="K66" i="1"/>
  <c r="K38" i="1"/>
  <c r="K42" i="1"/>
  <c r="K48" i="1"/>
  <c r="K20" i="1"/>
  <c r="K51" i="1"/>
  <c r="K41" i="1"/>
  <c r="K45" i="1"/>
  <c r="K49" i="1"/>
  <c r="K61" i="1"/>
  <c r="K32" i="1"/>
  <c r="K23" i="1"/>
  <c r="K47" i="1"/>
  <c r="K59" i="1"/>
  <c r="K18" i="1"/>
  <c r="K54" i="1"/>
  <c r="K60" i="1"/>
  <c r="K53" i="1"/>
  <c r="K65" i="1"/>
  <c r="K69" i="1"/>
  <c r="K24" i="1"/>
  <c r="K29" i="1"/>
  <c r="K62" i="1"/>
  <c r="K30" i="1"/>
  <c r="K39" i="1"/>
  <c r="K31" i="1"/>
  <c r="K68" i="1"/>
  <c r="K67" i="1"/>
  <c r="K57" i="1"/>
  <c r="K27" i="1"/>
  <c r="K35" i="1"/>
  <c r="K26" i="1"/>
  <c r="K56" i="1"/>
  <c r="K43" i="1"/>
  <c r="K36" i="1"/>
  <c r="K17" i="1"/>
  <c r="K44" i="1"/>
  <c r="K33" i="1"/>
  <c r="K50" i="1"/>
  <c r="K21" i="1"/>
  <c r="K19" i="1"/>
  <c r="F221" i="13" l="1"/>
  <c r="F211" i="13"/>
  <c r="F212" i="13"/>
  <c r="F213" i="13"/>
  <c r="F214" i="13"/>
  <c r="F215" i="13"/>
  <c r="F216" i="13"/>
  <c r="F217" i="13"/>
  <c r="F218" i="13"/>
  <c r="F219" i="13"/>
  <c r="F220" i="13"/>
  <c r="F210" i="13"/>
  <c r="K12" i="1"/>
  <c r="K14" i="1"/>
  <c r="K13" i="1"/>
  <c r="B221" i="13" a="1"/>
  <c r="K15" i="1"/>
  <c r="K11"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52" i="1"/>
  <c r="L52" i="1" s="1"/>
  <c r="K46" i="1"/>
  <c r="L46" i="1" s="1"/>
  <c r="K34" i="1"/>
  <c r="L34" i="1" s="1"/>
  <c r="K64" i="1"/>
  <c r="L64" i="1" s="1"/>
  <c r="K58" i="1"/>
  <c r="L58" i="1" s="1"/>
  <c r="K16" i="1"/>
  <c r="L16" i="1" s="1"/>
  <c r="X6" i="18" l="1"/>
  <c r="AJ30" i="18"/>
  <c r="R22" i="18"/>
  <c r="L6" i="18"/>
  <c r="R30" i="18"/>
  <c r="X22" i="18"/>
  <c r="AD38" i="18"/>
  <c r="N16" i="1"/>
  <c r="AD22" i="18"/>
  <c r="M16" i="1"/>
  <c r="X14" i="18"/>
  <c r="L30" i="18"/>
  <c r="R38" i="18"/>
  <c r="AJ14" i="18"/>
  <c r="R14" i="18"/>
  <c r="AD30" i="18"/>
  <c r="AJ38" i="18"/>
  <c r="AJ22" i="18"/>
  <c r="X30" i="18"/>
  <c r="AD6" i="18"/>
  <c r="AJ6" i="18"/>
  <c r="L38" i="18"/>
  <c r="AD14" i="18"/>
  <c r="L14" i="18"/>
  <c r="R6" i="18"/>
  <c r="X38" i="18"/>
  <c r="L22"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M46" i="1"/>
  <c r="J42" i="18"/>
  <c r="P34" i="18"/>
  <c r="AB18" i="18"/>
  <c r="P10" i="18"/>
  <c r="P42" i="18"/>
  <c r="AH34" i="18"/>
  <c r="V34" i="18"/>
  <c r="AH42" i="18"/>
  <c r="AB26" i="18"/>
  <c r="AH26" i="18"/>
  <c r="V26" i="18"/>
  <c r="V10" i="18"/>
  <c r="AH18" i="18"/>
  <c r="J34" i="18"/>
  <c r="J10" i="18"/>
  <c r="AB10" i="18"/>
  <c r="J18" i="18"/>
  <c r="N46" i="1"/>
  <c r="AB34" i="18"/>
  <c r="V42" i="18"/>
  <c r="J26" i="18"/>
  <c r="AH10" i="18"/>
  <c r="P18" i="18"/>
  <c r="V18" i="18"/>
  <c r="P26" i="18"/>
  <c r="AB42" i="18"/>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T14" i="18"/>
  <c r="AL38" i="18"/>
  <c r="N14" i="18"/>
  <c r="T38" i="18"/>
  <c r="T22" i="18"/>
  <c r="AL14" i="18"/>
  <c r="N22" i="18"/>
  <c r="AF22" i="18"/>
  <c r="N6" i="18"/>
  <c r="AF6" i="18"/>
  <c r="AF38" i="18"/>
  <c r="N38" i="18"/>
  <c r="AL30" i="18"/>
  <c r="AL22" i="18"/>
  <c r="T6" i="18"/>
  <c r="AF30" i="18"/>
  <c r="Z22" i="18"/>
  <c r="T30" i="18"/>
  <c r="AL6" i="18"/>
  <c r="Z14" i="18"/>
  <c r="Z38" i="18"/>
  <c r="Z6" i="18"/>
  <c r="M22" i="1"/>
  <c r="AB22" i="1" s="1"/>
  <c r="AA22" i="1" s="1"/>
  <c r="AF14" i="18"/>
  <c r="N22" i="1"/>
  <c r="Z30" i="18"/>
  <c r="N30" i="18"/>
  <c r="J40" i="18"/>
  <c r="AB40" i="18"/>
  <c r="AH32" i="18"/>
  <c r="AB24" i="18"/>
  <c r="AB16" i="18"/>
  <c r="J16" i="18"/>
  <c r="P32" i="18"/>
  <c r="V24" i="18"/>
  <c r="P24" i="18"/>
  <c r="V40" i="18"/>
  <c r="P16" i="18"/>
  <c r="P40" i="18"/>
  <c r="V32" i="18"/>
  <c r="V8" i="18"/>
  <c r="AH24" i="18"/>
  <c r="AH8" i="18"/>
  <c r="J8" i="18"/>
  <c r="AB32" i="18"/>
  <c r="AB8" i="18"/>
  <c r="AH40" i="18"/>
  <c r="J24" i="18"/>
  <c r="J32" i="18"/>
  <c r="P8" i="18"/>
  <c r="AH16" i="18"/>
  <c r="V16" i="18"/>
  <c r="N28" i="1"/>
  <c r="M28" i="1"/>
  <c r="P14" i="18"/>
  <c r="V22" i="18"/>
  <c r="V14" i="18"/>
  <c r="J22" i="18"/>
  <c r="AH14" i="18"/>
  <c r="AH38" i="18"/>
  <c r="J14" i="18"/>
  <c r="N10" i="1"/>
  <c r="AB22" i="18"/>
  <c r="V30" i="18"/>
  <c r="AB14" i="18"/>
  <c r="J30" i="18"/>
  <c r="P38" i="18"/>
  <c r="AB6" i="18"/>
  <c r="P22" i="18"/>
  <c r="AH30" i="18"/>
  <c r="J38" i="18"/>
  <c r="AH6" i="18"/>
  <c r="V6" i="18"/>
  <c r="AB30" i="18"/>
  <c r="J6" i="18"/>
  <c r="P30" i="18"/>
  <c r="AH22" i="18"/>
  <c r="P6" i="18"/>
  <c r="AB38" i="18"/>
  <c r="M10" i="1"/>
  <c r="AB10" i="1" s="1"/>
  <c r="V38"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AL8" i="18"/>
  <c r="AF8" i="18"/>
  <c r="N40" i="1"/>
  <c r="Z40" i="18"/>
  <c r="Z16" i="18"/>
  <c r="T24" i="18"/>
  <c r="AL24" i="18"/>
  <c r="AF16" i="18"/>
  <c r="Z32" i="18"/>
  <c r="N32" i="18"/>
  <c r="N16" i="18"/>
  <c r="Z8" i="18"/>
  <c r="AL40" i="18"/>
  <c r="M40" i="1"/>
  <c r="N24" i="18"/>
  <c r="T32" i="18"/>
  <c r="T16" i="18"/>
  <c r="AF40" i="18"/>
  <c r="AL32" i="18"/>
  <c r="N40" i="18"/>
  <c r="Z24" i="18"/>
  <c r="AL16" i="18"/>
  <c r="T8" i="18"/>
  <c r="N8" i="18"/>
  <c r="AB16" i="1" l="1"/>
  <c r="AA16" i="1" s="1"/>
  <c r="P17" i="19" s="1"/>
  <c r="AB17" i="1"/>
  <c r="AA10" i="1"/>
  <c r="AB11" i="1"/>
  <c r="AA11" i="1" s="1"/>
  <c r="V25" i="19"/>
  <c r="V45" i="19"/>
  <c r="J15" i="19"/>
  <c r="AB45" i="19"/>
  <c r="AH25" i="19"/>
  <c r="AH55" i="19"/>
  <c r="AB15" i="19"/>
  <c r="P15" i="19"/>
  <c r="P45" i="19"/>
  <c r="V15" i="19"/>
  <c r="J35" i="19"/>
  <c r="AH45" i="19"/>
  <c r="J25" i="19"/>
  <c r="AB35" i="19"/>
  <c r="P25" i="19"/>
  <c r="P35" i="19"/>
  <c r="AH15" i="19"/>
  <c r="V35" i="19"/>
  <c r="J55" i="19"/>
  <c r="AB55" i="19"/>
  <c r="AC64" i="1"/>
  <c r="AB25" i="19"/>
  <c r="J45" i="19"/>
  <c r="AH35" i="19"/>
  <c r="V55" i="19"/>
  <c r="P55" i="19"/>
  <c r="J28" i="19"/>
  <c r="V28" i="19"/>
  <c r="P28" i="19"/>
  <c r="V38" i="19"/>
  <c r="AB38" i="19"/>
  <c r="P8" i="19"/>
  <c r="J8" i="19"/>
  <c r="AC22" i="1"/>
  <c r="AH38" i="19"/>
  <c r="AB18" i="19"/>
  <c r="J18" i="19"/>
  <c r="P38" i="19"/>
  <c r="AH8" i="19"/>
  <c r="V8" i="19"/>
  <c r="AH18" i="19"/>
  <c r="J38" i="19"/>
  <c r="P18" i="19"/>
  <c r="J48" i="19"/>
  <c r="AB8" i="19"/>
  <c r="P48" i="19"/>
  <c r="AB28" i="19"/>
  <c r="AH28" i="19"/>
  <c r="V48" i="19"/>
  <c r="AB48" i="19"/>
  <c r="AH48" i="19"/>
  <c r="V18" i="19"/>
  <c r="AB12" i="1" l="1"/>
  <c r="AA12" i="1" s="1"/>
  <c r="R16" i="19" s="1"/>
  <c r="J17" i="19"/>
  <c r="AA17" i="1"/>
  <c r="W37" i="19" s="1"/>
  <c r="AB18" i="1"/>
  <c r="AA18" i="1" s="1"/>
  <c r="AB17" i="19"/>
  <c r="AH37" i="19"/>
  <c r="V17" i="19"/>
  <c r="AH17" i="19"/>
  <c r="AH27" i="19"/>
  <c r="J7" i="19"/>
  <c r="AB47" i="19"/>
  <c r="V7" i="19"/>
  <c r="AC16" i="1"/>
  <c r="AB7" i="19"/>
  <c r="AB27" i="19"/>
  <c r="P47" i="19"/>
  <c r="AH47" i="19"/>
  <c r="J47" i="19"/>
  <c r="V47" i="19"/>
  <c r="J37" i="19"/>
  <c r="V37" i="19"/>
  <c r="P37" i="19"/>
  <c r="AB37" i="19"/>
  <c r="P7" i="19"/>
  <c r="AH7" i="19"/>
  <c r="P27" i="19"/>
  <c r="J27" i="19"/>
  <c r="V27" i="19"/>
  <c r="W36" i="19"/>
  <c r="AC36" i="19"/>
  <c r="K16" i="19"/>
  <c r="W26" i="19"/>
  <c r="K46" i="19"/>
  <c r="AI46" i="19"/>
  <c r="AC46" i="19"/>
  <c r="Q46" i="19"/>
  <c r="AC26" i="19"/>
  <c r="AC16" i="19"/>
  <c r="W46" i="19"/>
  <c r="W16" i="19"/>
  <c r="K36" i="19"/>
  <c r="Q26" i="19"/>
  <c r="AC11" i="1"/>
  <c r="Q6" i="19"/>
  <c r="K6" i="19"/>
  <c r="Q16" i="19"/>
  <c r="AI6" i="19"/>
  <c r="AI16" i="19"/>
  <c r="Q36" i="19"/>
  <c r="W6" i="19"/>
  <c r="K26" i="19"/>
  <c r="AI36" i="19"/>
  <c r="AI26" i="19"/>
  <c r="AC6" i="19"/>
  <c r="P16" i="19"/>
  <c r="P6" i="19"/>
  <c r="AH6" i="19"/>
  <c r="V46" i="19"/>
  <c r="AH46" i="19"/>
  <c r="AB46" i="19"/>
  <c r="J6" i="19"/>
  <c r="P46" i="19"/>
  <c r="AB26" i="19"/>
  <c r="AB16" i="19"/>
  <c r="AH26" i="19"/>
  <c r="J16" i="19"/>
  <c r="P36" i="19"/>
  <c r="V26" i="19"/>
  <c r="AH36" i="19"/>
  <c r="P26" i="19"/>
  <c r="AB6" i="19"/>
  <c r="V16" i="19"/>
  <c r="V36" i="19"/>
  <c r="AC10" i="1"/>
  <c r="J36" i="19"/>
  <c r="AH16" i="19"/>
  <c r="J26" i="19"/>
  <c r="V6" i="19"/>
  <c r="J46" i="19"/>
  <c r="AB36" i="19"/>
  <c r="AD6" i="19" l="1"/>
  <c r="AJ36" i="19"/>
  <c r="AD26" i="19"/>
  <c r="X26" i="19"/>
  <c r="R36" i="19"/>
  <c r="X16" i="19"/>
  <c r="L6" i="19"/>
  <c r="AJ6" i="19"/>
  <c r="X6" i="19"/>
  <c r="R26" i="19"/>
  <c r="L26" i="19"/>
  <c r="R46" i="19"/>
  <c r="L16" i="19"/>
  <c r="AD16" i="19"/>
  <c r="AJ26" i="19"/>
  <c r="L46" i="19"/>
  <c r="AD36" i="19"/>
  <c r="R6" i="19"/>
  <c r="AC12" i="1"/>
  <c r="L36" i="19"/>
  <c r="AJ16" i="19"/>
  <c r="X36" i="19"/>
  <c r="X46" i="19"/>
  <c r="AJ46" i="19"/>
  <c r="AD46" i="19"/>
  <c r="Q27" i="19"/>
  <c r="K37" i="19"/>
  <c r="Q17" i="19"/>
  <c r="W27" i="19"/>
  <c r="K7" i="19"/>
  <c r="AC17" i="1"/>
  <c r="AC37" i="19"/>
  <c r="AC47" i="19"/>
  <c r="AC27" i="19"/>
  <c r="W7" i="19"/>
  <c r="Q47" i="19"/>
  <c r="AI37" i="19"/>
  <c r="K27" i="19"/>
  <c r="AI27" i="19"/>
  <c r="Q37" i="19"/>
  <c r="W47" i="19"/>
  <c r="K17" i="19"/>
  <c r="Q7" i="19"/>
  <c r="AI47" i="19"/>
  <c r="K47" i="19"/>
  <c r="AI17" i="19"/>
  <c r="AC7" i="19"/>
  <c r="AC17" i="19"/>
  <c r="W17" i="19"/>
  <c r="AI7" i="19"/>
  <c r="AJ37" i="19"/>
  <c r="X7" i="19"/>
  <c r="R7" i="19"/>
  <c r="X37" i="19"/>
  <c r="X47" i="19"/>
  <c r="X17" i="19"/>
  <c r="L27" i="19"/>
  <c r="AC18" i="1"/>
  <c r="AD47" i="19"/>
  <c r="AD17" i="19"/>
  <c r="L7" i="19"/>
  <c r="AJ47" i="19"/>
  <c r="R47" i="19"/>
  <c r="AJ27" i="19"/>
  <c r="L37" i="19"/>
  <c r="L17" i="19"/>
  <c r="L47" i="19"/>
  <c r="AD37" i="19"/>
  <c r="AD27" i="19"/>
  <c r="R17" i="19"/>
  <c r="R27" i="19"/>
  <c r="R37" i="19"/>
  <c r="AJ7" i="19"/>
  <c r="AJ17" i="19"/>
  <c r="X27" i="19"/>
  <c r="AD7"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<sst xmlns="http://schemas.openxmlformats.org/spreadsheetml/2006/main" count="403" uniqueCount="251">
  <si>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</si>
  <si>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</si>
  <si>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</si>
  <si>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</si>
  <si>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</si>
  <si>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</si>
  <si>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</si>
  <si>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</si>
  <si>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</si>
  <si>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</si>
  <si>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</si>
  <si>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</si>
  <si>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</si>
  <si>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</si>
  <si>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</si>
  <si>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</si>
  <si>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</si>
  <si>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</si>
  <si>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</si>
  <si>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</si>
  <si>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</si>
  <si>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</si>
  <si>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</si>
  <si>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</si>
  <si>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</si>
  <si>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</si>
  <si>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</si>
  <si>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</si>
  <si>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</si>
  <si>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</si>
  <si>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</si>
  <si>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</si>
  <si>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</si>
  <si>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</si>
  <si>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</si>
  <si>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</si>
  <si>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</si>
  <si>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</si>
  <si>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</si>
  <si>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</si>
  <si>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</si>
  <si>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</si>
  <si>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</si>
  <si>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</si>
  <si>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</si>
  <si>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</si>
  <si>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</si>
  <si>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</si>
  <si>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</si>
  <si>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</si>
  <si>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</si>
  <si>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</si>
  <si>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</si>
  <si>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</si>
  <si>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</si>
  <si>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</si>
  <si>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</si>
  <si>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</si>
  <si>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</si>
  <si>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</si>
  <si>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</si>
  <si>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</si>
  <si>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</si>
  <si>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</si>
  <si>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</si>
  <si>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</si>
  <si>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</si>
  <si>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</si>
  <si>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</si>
  <si>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</si>
  <si>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</si>
  <si>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</si>
  <si>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</si>
  <si>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</si>
  <si>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</si>
  <si>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</si>
  <si>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</si>
  <si>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</si>
  <si>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</si>
  <si>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</si>
  <si>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</si>
  <si>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</si>
  <si>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</si>
  <si>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</si>
  <si>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</si>
  <si>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</si>
  <si>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</si>
  <si>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</si>
  <si>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</si>
  <si>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</si>
  <si>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</si>
  <si>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</si>
  <si>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</si>
  <si>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</si>
  <si>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</si>
  <si>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</si>
  <si>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</si>
  <si>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</si>
  <si>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</si>
  <si>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</si>
  <si>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</si>
  <si>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</si>
  <si>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</si>
  <si>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</si>
  <si>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</si>
  <si>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</si>
  <si>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</si>
  <si>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</si>
  <si>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</si>
  <si>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</si>
  <si>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</si>
  <si>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</si>
  <si>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</si>
  <si>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</si>
  <si>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</si>
  <si>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</si>
  <si>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</si>
  <si>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</si>
  <si>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</si>
  <si>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</si>
  <si>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</si>
  <si>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</si>
  <si>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</si>
  <si>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</si>
  <si>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</si>
  <si>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</si>
  <si>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</si>
  <si>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</si>
  <si>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</si>
  <si>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</si>
  <si>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</si>
  <si>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</si>
  <si>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</si>
  <si>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</si>
  <si>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</si>
  <si>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</si>
  <si>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</si>
  <si>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</si>
  <si>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</si>
  <si>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</si>
  <si>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</si>
  <si>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</si>
  <si>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</si>
  <si>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</si>
  <si>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</si>
  <si>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</si>
  <si>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</si>
  <si>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</si>
  <si>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</si>
  <si>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</si>
  <si>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</si>
  <si>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</si>
  <si>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</si>
  <si>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</si>
  <si>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</si>
  <si>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</si>
  <si>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</si>
  <si>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</si>
  <si>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</si>
  <si>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</si>
  <si>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</si>
  <si>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</si>
  <si>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</si>
  <si>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</si>
  <si>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</si>
  <si>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</si>
  <si>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</si>
  <si>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</si>
  <si>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</si>
  <si>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</si>
  <si>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</si>
  <si>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</si>
  <si>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</si>
  <si>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</si>
  <si>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</si>
  <si>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</si>
  <si>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</si>
  <si>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</si>
  <si>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</si>
  <si>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</si>
  <si>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</si>
  <si>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</si>
  <si>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</si>
  <si>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</si>
  <si>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</si>
  <si>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</si>
  <si>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</si>
  <si>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</si>
  <si>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</si>
  <si>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</si>
  <si>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</si>
  <si>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</si>
  <si>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</si>
  <si>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</si>
  <si>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</si>
  <si>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</si>
  <si>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</si>
  <si>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</si>
  <si>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</si>
  <si>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</si>
  <si>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</si>
  <si>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</si>
  <si>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</si>
  <si>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</si>
  <si>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</si>
  <si>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</si>
  <si>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</si>
  <si>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</si>
  <si>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</si>
  <si>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</si>
  <si>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</si>
  <si>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</si>
  <si>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</si>
  <si>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</si>
  <si>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Vicerrectoría Administrativa </t>
  </si>
  <si>
    <t>Liderar procesos de dirección, organización y supervisión de actividades relacionada al recurso humano, Infraestructura física y Financiera de la Institución, ademas administrar el archivo de la Institución, cumpliendo con las normas y requerimientos legales</t>
  </si>
  <si>
    <t xml:space="preserve">
Posible pérdida de información de los sistemas informáticos y de carácter físico correspondiente al proceso.
</t>
  </si>
  <si>
    <t xml:space="preserve">1. Las copias de seguridad de la información no se hacen de forma periódica incumpliendo la guía establecida. 
2. Las diferentes áreas de la Institución no dan cumplimiento a las políticas de Gestión Documental. 
3. El espacio físico no cumple con las especificaciones técnicas para archivar los documentos. 
4. El sistema no cuenta con los controles de seguridad. 
</t>
  </si>
  <si>
    <t xml:space="preserve">La información que se maneja a través de los sistemas tecnológicos y físicos es susceptible de perderse por fallas en los mismos o por falta de cumplimiento de las políticas establecidas para salvaguardar la información física y magnética. </t>
  </si>
  <si>
    <t xml:space="preserve">Verificación de forma aleatoria por parte de la oficina de sistemas de la copia de información realizada por cada funcionario. </t>
  </si>
  <si>
    <t>Hacer seguimiento semanal por parte de la oficina de sistemas y evaluar los resultados.</t>
  </si>
  <si>
    <t>Posible pérdida o hurto de bienes de la institución</t>
  </si>
  <si>
    <t xml:space="preserve">1. No se cuenta con un sistema de cámaras de seguridad activos 
2. No se cuenta con personal capacitado para el servicio de vigilancia
</t>
  </si>
  <si>
    <t xml:space="preserve">Pérdida o hurto de bienes por no contar con un sistema de cámaras de seguridad acorde para la capacidad instalada de la Institución lo que generaría un posible detrimento patrimonial. </t>
  </si>
  <si>
    <t xml:space="preserve">Instalación de cámaras de seguridad y contratación de personal de vigilancia para salvaguardas los bienes de la Institución. </t>
  </si>
  <si>
    <t xml:space="preserve">Adquirir un sistema de cámaras de seguridad con circuito cerrado y que el personal de vigilancia sean incluidos en la planta de personal y puedan tener las capacitaciones necesarias para cumplir con las actividades de vigilancia de forma adecuada. </t>
  </si>
  <si>
    <t>Lider de Vicerrectoría Administrativa</t>
  </si>
  <si>
    <t xml:space="preserve">Posibles daños a los bienes físicos y espacios locativos por falta de mantenimiento preventivo a las instalaciones y el mal uso por parte de la comunidad educativa. </t>
  </si>
  <si>
    <t xml:space="preserve">1. No cumplir con lo establecido en el manual de mantenimiento preventivo.
2. Uso inadecuado de las instalaciones por parte de la comunidad educativa.
</t>
  </si>
  <si>
    <t xml:space="preserve">Debido a la falta de mantenimiento preventivo se pueden presentar incrementos en los gastos operacionales al tener que invertir presupuesto en mantenimientos correctivos en la infraestructura. </t>
  </si>
  <si>
    <t xml:space="preserve">Seguimiento trimestral del plan de mantenimiento preventivo para evitar daños en la infraestructura física. </t>
  </si>
  <si>
    <t>Todos los procesos</t>
  </si>
  <si>
    <t>Lider deVicerrectoría Administrativa y lider area de informatica</t>
  </si>
  <si>
    <t>Adecuaciones de iluminación  para implementar las medidas de seguridad de la matriz de riesgo de la Institución en todos los espacios académicos, las cuales dificultan las labores de vigilancia y preservación de los bienes de la Institución de acuerdo a las directrices de la Presidencia de la Republica.</t>
  </si>
  <si>
    <t xml:space="preserve">Adecuacu camaras que ya estan instaladas en la zona de parqueaderos del edificio antiguo </t>
  </si>
  <si>
    <t xml:space="preserve">Adelantar los mantenimientos correctivos y preventivos con personal de planta y de contrato teniendo en cuenta la información relacionada en el seguimiento trimestral que se haga del plan. </t>
  </si>
  <si>
    <t>Lider deVicerrectoría Administrativa y lider de procesos</t>
  </si>
  <si>
    <t xml:space="preserve"> "Realizar las actividades concernientes al informe del resultado diagnóstico integral de archivo"</t>
  </si>
  <si>
    <t>Lider deVicerrectoría Administrativa y lider de proceso Gestion docuemntal</t>
  </si>
  <si>
    <t>Realizar el plan de accion detectando las areas o dependencias que incumplieron con la entrega del archivo historico</t>
  </si>
  <si>
    <t>Remodelación iluminación zonas exteriores ITFIP que limita los alrededores con los barrios del municipio de Espinal</t>
  </si>
  <si>
    <t>Compra de materiales para arreglar las camaras instaladas que se encuentran fuera de servicio</t>
  </si>
  <si>
    <t>Realizar las actividad de Adecuación de instalaciones, eléctricas y de ventilacion conforme al plan de Accion del año 2023</t>
  </si>
  <si>
    <t>Se evidencia instalación de las camaras de seguridad en el bloque E y parqueaderos, así mismo el centro de control y monitoreo en la oficina de Vicerectoría Administrativa</t>
  </si>
  <si>
    <t>La oficina de sistemas cada semana y de manera permanente solicita a los funcionarios hacer las copias de seguridad de la información. Se evidencia correos enviados, el drive de cada dependencia y guia y video de backups, la información esta almacenada en los drive de cada area de trabajo</t>
  </si>
  <si>
    <t xml:space="preserve">Realizar el plan anual de transferencias 2024 y su seguimiento de las 3 oficinas que tienen archivos por entregar (Tesorería, Almacén y convenios) </t>
  </si>
  <si>
    <t xml:space="preserve">Se evidencia circular interna No. 5 "Transferencias documentales pendientes" de la vicerectora Administrativa a lo líderes de los procesos con el fin de organizar y hacer la entregar de los documentos de archivo de años anteriores programadas según el cronograma </t>
  </si>
  <si>
    <t>Se evidencia mantenimiento y adecuación de instalaciones eléctricas en el cronograma de mantenimiento de la vigencia 2024: los soportes de evidencias se observa en los informes de los contratos de prestación de servicio y adquisición de suministros</t>
  </si>
  <si>
    <t>Realizo contrato de Iluminacion parte periferica de la Institucion y senderos con el fin de controlar y vigilar por parte de la empresa de vigilancia los linderos de la Institucion, se evidencia puesta en marcha de las iluminarias de la cancha de futbol que iluminan los senderos de la Institución</t>
  </si>
  <si>
    <t>Se evidencia  mantenimiento de las camaras de seguridad instaladas en la Institución y la compra de materiales para el repectivo mantenimiento, lo anterior para su eficaz funcionamiento para la seguridad de la Institución</t>
  </si>
  <si>
    <t>Se evidencia el plan de mantenimiento de la vigencia 2024 y su respectiva ejecución en cual se estan cumpliendo todas las actividades programadas con sus repectivos contratos para el mantenimiento preventivo y correctivo de las instalaciones de la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</si>
</sst>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R3" zoomScale="85" zoomScaleNormal="85" workbookViewId="0">
      <selection activeCell="AI3" sqref="AI3"/>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231</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217</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23</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232</v>
      </c>
      <c r="AG10" s="137">
        <v>45657</v>
      </c>
      <c r="AH10" s="137">
        <v>45421</v>
      </c>
      <c r="AI10" s="135" t="s">
        <v>244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239</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0.24</v>
      </c>
      <c r="Y11" s="131" t="str">
        <f t="shared" ref="Y11:Y69" si="1">IFERROR(IF(X11="","",IF(X11&lt;=0.2,"Muy Baja",IF(X11&lt;=0.4,"Baja",IF(X11&lt;=0.6,"Media",IF(X11&lt;=0.8,"Alta","Muy Alta"))))),"")</f>
        <v>Baja</v>
      </c>
      <c r="Z11" s="132">
        <f t="shared" ref="Z11:Z15" si="2">+X11</f>
        <v>0.24</v>
      </c>
      <c r="AA11" s="131" t="str">
        <f t="shared" ref="AA11:AA69" ca="1" si="3">IFERROR(IF(AB11="","",IF(AB11&lt;=0.2,"Leve",IF(AB11&lt;=0.4,"Menor",IF(AB11&lt;=0.6,"Moderado",IF(AB11&lt;=0.8,"Mayor","Catastrófico"))))),"")</f>
        <v>Leve</v>
      </c>
      <c r="AB11" s="132">
        <f ca="1">IFERROR(IF(AND(Q10="Impacto",Q11="Impacto"),(AB10-(+AB10*T11)),IF(Q11="Impacto",($M$10-(+$M$10*T11)),IF(Q11="Probabilidad",AB10,""))),"")</f>
        <v>0.15000000000000002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245</v>
      </c>
      <c r="AF11" s="136" t="s">
        <v>236</v>
      </c>
      <c r="AG11" s="137">
        <v>45657</v>
      </c>
      <c r="AH11" s="137">
        <v>45421</v>
      </c>
      <c r="AI11" s="135" t="s">
        <v>246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t="s">
        <v>237</v>
      </c>
      <c r="Q12" s="127" t="str">
        <f>IF(OR(R12="Preventivo",R12="Detectivo"),"Probabilidad",IF(R12="Correctivo","Impacto",""))</f>
        <v>Impacto</v>
      </c>
      <c r="R12" s="128" t="s">
        <v>16</v>
      </c>
      <c r="S12" s="128" t="s">
        <v>9</v>
      </c>
      <c r="T12" s="129" t="str">
        <f t="shared" si="0"/>
        <v>25%</v>
      </c>
      <c r="U12" s="128" t="s">
        <v>19</v>
      </c>
      <c r="V12" s="128" t="s">
        <v>22</v>
      </c>
      <c r="W12" s="128" t="s">
        <v>119</v>
      </c>
      <c r="X12" s="130">
        <f>IFERROR(IF(AND(Q11="Probabilidad",Q12="Probabilidad"),(Z11-(+Z11*T12)),IF(AND(Q11="Impacto",Q12="Probabilidad"),(Z10-(+Z10*T12)),IF(Q12="Impacto",Z11,""))),"")</f>
        <v>0.24</v>
      </c>
      <c r="Y12" s="131" t="str">
        <f t="shared" si="1"/>
        <v>Baja</v>
      </c>
      <c r="Z12" s="132">
        <f t="shared" si="2"/>
        <v>0.24</v>
      </c>
      <c r="AA12" s="131" t="str">
        <f t="shared" ca="1" si="3"/>
        <v>Leve</v>
      </c>
      <c r="AB12" s="132">
        <f ca="1">IFERROR(IF(AND(Q11="Impacto",Q12="Impacto"),(AB11-(+AB11*T12)),IF(AND(Q11="Probabilidad",Q12="Impacto"),(AB10-(+AB10*T12)),IF(Q12="Probabilidad",AB11,""))),"")</f>
        <v>0.11250000000000002</v>
      </c>
      <c r="AC12" s="133" t="str">
        <f t="shared" ca="1" si="4"/>
        <v>Bajo</v>
      </c>
      <c r="AD12" s="134" t="s">
        <v>136</v>
      </c>
      <c r="AE12" s="135" t="s">
        <v>242</v>
      </c>
      <c r="AF12" s="136" t="s">
        <v>238</v>
      </c>
      <c r="AG12" s="137">
        <v>45657</v>
      </c>
      <c r="AH12" s="137">
        <v>45421</v>
      </c>
      <c r="AI12" s="135" t="s">
        <v>247</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134</v>
      </c>
      <c r="C16" s="204" t="s">
        <v>223</v>
      </c>
      <c r="D16" s="204" t="s">
        <v>222</v>
      </c>
      <c r="E16" s="207" t="s">
        <v>221</v>
      </c>
      <c r="F16" s="204" t="s">
        <v>129</v>
      </c>
      <c r="G16" s="210">
        <v>4</v>
      </c>
      <c r="H16" s="213" t="str">
        <f>IF(G16&lt;=0,"",IF(G16&lt;=2,"Muy Baja",IF(G16&lt;=24,"Baja",IF(G16&lt;=500,"Media",IF(G16&lt;=5000,"Alta","Muy Alta")))))</f>
        <v>Baja</v>
      </c>
      <c r="I16" s="195">
        <f>IF(H16="","",IF(H16="Muy Baja",0.2,IF(H16="Baja",0.4,IF(H16="Media",0.6,IF(H16="Alta",0.8,IF(H16="Muy Alta",1,))))))</f>
        <v>0.4</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226</v>
      </c>
      <c r="AG16" s="137">
        <v>45657</v>
      </c>
      <c r="AH16" s="137">
        <v>45421</v>
      </c>
      <c r="AI16" s="135" t="s">
        <v>243</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38" t="s">
        <v>233</v>
      </c>
      <c r="Q17" s="127" t="str">
        <f>IF(OR(R17="Preventivo",R17="Detectivo"),"Probabilidad",IF(R17="Correctivo","Impacto",""))</f>
        <v>Impacto</v>
      </c>
      <c r="R17" s="128" t="s">
        <v>16</v>
      </c>
      <c r="S17" s="128" t="s">
        <v>10</v>
      </c>
      <c r="T17" s="129" t="str">
        <f t="shared" ref="T17:T21" si="8">IF(AND(R17="Preventivo",S17="Automático"),"50%",IF(AND(R17="Preventivo",S17="Manual"),"40%",IF(AND(R17="Detectivo",S17="Automático"),"40%",IF(AND(R17="Detectivo",S17="Manual"),"30%",IF(AND(R17="Correctivo",S17="Automático"),"35%",IF(AND(R17="Correctivo",S17="Manual"),"25%",""))))))</f>
        <v>35%</v>
      </c>
      <c r="U17" s="128" t="s">
        <v>19</v>
      </c>
      <c r="V17" s="128" t="s">
        <v>22</v>
      </c>
      <c r="W17" s="128" t="s">
        <v>119</v>
      </c>
      <c r="X17" s="130">
        <f>IFERROR(IF(AND(Q16="Probabilidad",Q17="Probabilidad"),(Z16-(+Z16*T17)),IF(Q17="Probabilidad",(I16-(+I16*T17)),IF(Q17="Impacto",Z16,""))),"")</f>
        <v>0.24</v>
      </c>
      <c r="Y17" s="131" t="str">
        <f t="shared" si="1"/>
        <v>Baja</v>
      </c>
      <c r="Z17" s="132">
        <f t="shared" ref="Z17:Z21" si="9">+X17</f>
        <v>0.24</v>
      </c>
      <c r="AA17" s="131" t="str">
        <f t="shared" ca="1" si="3"/>
        <v>Leve</v>
      </c>
      <c r="AB17" s="132">
        <f ca="1">IFERROR(IF(AND(Q16="Impacto",Q17="Impacto"),(AB10-(+AB10*T17)),IF(Q17="Impacto",($M$16-(+$M$16*T17)),IF(Q17="Probabilidad",AB10,""))),"")</f>
        <v>0.13</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240</v>
      </c>
      <c r="AF17" s="136" t="s">
        <v>226</v>
      </c>
      <c r="AG17" s="137">
        <v>45657</v>
      </c>
      <c r="AH17" s="137">
        <v>45421</v>
      </c>
      <c r="AI17" s="135" t="s">
        <v>248</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t="s">
        <v>234</v>
      </c>
      <c r="Q18" s="127" t="str">
        <f>IF(OR(R18="Preventivo",R18="Detectivo"),"Probabilidad",IF(R18="Correctivo","Impacto",""))</f>
        <v>Impacto</v>
      </c>
      <c r="R18" s="128" t="s">
        <v>16</v>
      </c>
      <c r="S18" s="128" t="s">
        <v>10</v>
      </c>
      <c r="T18" s="129" t="str">
        <f t="shared" si="8"/>
        <v>35%</v>
      </c>
      <c r="U18" s="128" t="s">
        <v>19</v>
      </c>
      <c r="V18" s="128" t="s">
        <v>22</v>
      </c>
      <c r="W18" s="128" t="s">
        <v>119</v>
      </c>
      <c r="X18" s="130">
        <f>IFERROR(IF(AND(Q17="Probabilidad",Q18="Probabilidad"),(Z17-(+Z17*T18)),IF(AND(Q17="Impacto",Q18="Probabilidad"),(Z16-(+Z16*T18)),IF(Q18="Impacto",Z17,""))),"")</f>
        <v>0.24</v>
      </c>
      <c r="Y18" s="131" t="str">
        <f t="shared" si="1"/>
        <v>Baja</v>
      </c>
      <c r="Z18" s="132">
        <f t="shared" si="9"/>
        <v>0.24</v>
      </c>
      <c r="AA18" s="131" t="str">
        <f t="shared" ca="1" si="3"/>
        <v>Leve</v>
      </c>
      <c r="AB18" s="132">
        <f ca="1">IFERROR(IF(AND(Q17="Impacto",Q18="Impacto"),(AB17-(+AB17*T18)),IF(AND(Q17="Probabilidad",Q18="Impacto"),(AB16-(+AB16*T18)),IF(Q18="Probabilidad",AB17,""))),"")</f>
        <v>8.4500000000000006E-2</v>
      </c>
      <c r="AC18" s="133" t="str">
        <f t="shared" ca="1" si="10"/>
        <v>Bajo</v>
      </c>
      <c r="AD18" s="134" t="s">
        <v>136</v>
      </c>
      <c r="AE18" s="135" t="s">
        <v>241</v>
      </c>
      <c r="AF18" s="136" t="s">
        <v>226</v>
      </c>
      <c r="AG18" s="137">
        <v>45657</v>
      </c>
      <c r="AH18" s="137">
        <v>45421</v>
      </c>
      <c r="AI18" s="135" t="s">
        <v>249</v>
      </c>
      <c r="AJ18" s="136" t="s">
        <v>41</v>
      </c>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t="s">
        <v>133</v>
      </c>
      <c r="C22" s="204" t="s">
        <v>229</v>
      </c>
      <c r="D22" s="204" t="s">
        <v>228</v>
      </c>
      <c r="E22" s="207" t="s">
        <v>227</v>
      </c>
      <c r="F22" s="204" t="s">
        <v>129</v>
      </c>
      <c r="G22" s="210">
        <v>4</v>
      </c>
      <c r="H22" s="213" t="str">
        <f>IF(G22&lt;=0,"",IF(G22&lt;=2,"Muy Baja",IF(G22&lt;=24,"Baja",IF(G22&lt;=500,"Media",IF(G22&lt;=5000,"Alta","Muy Alta")))))</f>
        <v>Baja</v>
      </c>
      <c r="I22" s="195">
        <f>IF(H22="","",IF(H22="Muy Baja",0.2,IF(H22="Baja",0.4,IF(H22="Media",0.6,IF(H22="Alta",0.8,IF(H22="Muy Alta",1,))))))</f>
        <v>0.4</v>
      </c>
      <c r="J22" s="216" t="s">
        <v>153</v>
      </c>
      <c r="K22" s="195"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213" t="str">
        <f ca="1">IF(OR(K22='Tabla Impacto'!$C$11,K22='Tabla Impacto'!$D$11),"Leve",IF(OR(K22='Tabla Impacto'!$C$12,K22='Tabla Impacto'!$D$12),"Menor",IF(OR(K22='Tabla Impacto'!$C$13,K22='Tabla Impacto'!$D$13),"Moderado",IF(OR(K22='Tabla Impacto'!$C$14,K22='Tabla Impacto'!$D$14),"Mayor",IF(OR(K22='Tabla Impacto'!$C$15,K22='Tabla Impacto'!$D$15),"Catastrófico","")))))</f>
        <v>Leve</v>
      </c>
      <c r="M22" s="195">
        <f ca="1">IF(L22="","",IF(L22="Leve",0.2,IF(L22="Menor",0.4,IF(L22="Moderado",0.6,IF(L22="Mayor",0.8,IF(L22="Catastrófico",1,))))))</f>
        <v>0.2</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230</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235</v>
      </c>
      <c r="AF22" s="136" t="s">
        <v>226</v>
      </c>
      <c r="AG22" s="137">
        <v>45657</v>
      </c>
      <c r="AH22" s="137">
        <v>45421</v>
      </c>
      <c r="AI22" s="135" t="s">
        <v>250</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R1</v>
      </c>
      <c r="K30" s="323"/>
      <c r="L30" s="323" t="str">
        <f ca="1">IF(AND('Mapa final'!$H$16="Baja",'Mapa final'!$L$16="Leve"),CONCATENATE("R",'Mapa final'!$A$16),"")</f>
        <v>R2</v>
      </c>
      <c r="M30" s="323"/>
      <c r="N30" s="323" t="str">
        <f ca="1">IF(AND('Mapa final'!$H$22="Baja",'Mapa final'!$L$22="Leve"),CONCATENATE("R",'Mapa final'!$A$22),"")</f>
        <v>R3</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 ca="1">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 ca="1">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 ca="1">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 ca="1">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 ca="1">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 ca="1">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 ca="1">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 ca="1">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 ca="1">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 ca="1">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 ca="1">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 ca="1">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 ca="1">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 ca="1">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 ca="1">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R1C1</v>
      </c>
      <c r="K36" s="75" t="str">
        <f ca="1">IF(AND('Mapa final'!$Y$11="Baja",'Mapa final'!$AA$11="Leve"),CONCATENATE("R1C",'Mapa final'!$O$11),"")</f>
        <v>R1C2</v>
      </c>
      <c r="L36" s="75" t="str">
        <f ca="1">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R2C1</v>
      </c>
      <c r="K37" s="78" t="str">
        <f ca="1">IF(AND('Mapa final'!$Y$17="Baja",'Mapa final'!$AA$17="Leve"),CONCATENATE("R2C",'Mapa final'!$O$17),"")</f>
        <v>R2C2</v>
      </c>
      <c r="L37" s="78" t="str">
        <f ca="1">IF(AND('Mapa final'!$Y$18="Baja",'Mapa final'!$AA$18="Leve"),CONCATENATE("R2C",'Mapa final'!$O$18),"")</f>
        <v>R2C3</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 ca="1">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 ca="1">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 ca="1">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 ca="1">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 ca="1">IF(AND('Mapa final'!$Y$17="Muy Baja",'Mapa final'!$AA$17="Leve"),CONCATENATE("R2C",'Mapa final'!$O$17),"")</f>
        <v/>
      </c>
      <c r="L47" s="78" t="str">
        <f ca="1">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 ca="1">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 ca="1">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 ca="1">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 ca="1">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2024-05-14T19:43:37Z</dcterms:modified>
</cp:coreProperties>
</file>