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hidePivotFieldList="1" defaultThemeVersion="124226"/>
  <mc:AlternateContent xmlns:mc="http://schemas.openxmlformats.org/markup-compatibility/2006">
    <mc:Choice Requires="x15">
      <x15ac:absPath xmlns:x15ac="http://schemas.microsoft.com/office/spreadsheetml/2010/11/ac" url="D:\WINDATA\ESCRITORIO\"/>
    </mc:Choice>
  </mc:AlternateContent>
  <xr:revisionPtr revIDLastSave="0" documentId="8_{AB8AE842-AB35-4C6B-ABBB-0AA4C4B08273}" xr6:coauthVersionLast="47" xr6:coauthVersionMax="47" xr10:uidLastSave="{00000000-0000-0000-0000-000000000000}"/>
  <bookViews>
    <workbookView xWindow="-120" yWindow="-120" windowWidth="29040" windowHeight="15840" tabRatio="882" activeTab="1" xr2:uid="{00000000-000D-0000-FFFF-FFFF00000000}"/>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91029"/>
  <pivotCaches>
    <pivotCache cacheId="1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0" i="1" l="1"/>
  <c r="Q10" i="1"/>
  <c r="H10" i="1"/>
  <c r="I10" i="1" s="1"/>
  <c r="K68" i="1"/>
  <c r="K54" i="1"/>
  <c r="K35" i="1"/>
  <c r="K48" i="1"/>
  <c r="K62" i="1"/>
  <c r="K41" i="1"/>
  <c r="K51" i="1"/>
  <c r="K50" i="1"/>
  <c r="K55" i="1"/>
  <c r="K29" i="1"/>
  <c r="K37" i="1"/>
  <c r="K33" i="1"/>
  <c r="K49" i="1"/>
  <c r="K23" i="1"/>
  <c r="K53" i="1"/>
  <c r="K21" i="1"/>
  <c r="K30" i="1"/>
  <c r="K47" i="1"/>
  <c r="K26" i="1"/>
  <c r="K63" i="1"/>
  <c r="K67" i="1"/>
  <c r="K66" i="1"/>
  <c r="K57" i="1"/>
  <c r="K43" i="1"/>
  <c r="K39" i="1"/>
  <c r="K25" i="1"/>
  <c r="K18" i="1"/>
  <c r="K38" i="1"/>
  <c r="K42" i="1"/>
  <c r="K69" i="1"/>
  <c r="K19" i="1"/>
  <c r="K17" i="1"/>
  <c r="K31" i="1"/>
  <c r="K27" i="1"/>
  <c r="K61" i="1"/>
  <c r="K36" i="1"/>
  <c r="K44" i="1"/>
  <c r="K24" i="1"/>
  <c r="K59" i="1"/>
  <c r="K56" i="1"/>
  <c r="K60" i="1"/>
  <c r="K20" i="1"/>
  <c r="K65" i="1"/>
  <c r="K32" i="1"/>
  <c r="K45" i="1"/>
  <c r="F221" i="13" l="1"/>
  <c r="F211" i="13"/>
  <c r="F212" i="13"/>
  <c r="F213" i="13"/>
  <c r="F214" i="13"/>
  <c r="F215" i="13"/>
  <c r="F216" i="13"/>
  <c r="F217" i="13"/>
  <c r="F218" i="13"/>
  <c r="F219" i="13"/>
  <c r="F220" i="13"/>
  <c r="F210" i="13"/>
  <c r="K15" i="1"/>
  <c r="K11" i="1"/>
  <c r="B221" i="13" a="1"/>
  <c r="K12" i="1"/>
  <c r="K14" i="1"/>
  <c r="K13"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K40" i="1" l="1"/>
  <c r="L40" i="1" s="1"/>
  <c r="K28" i="1"/>
  <c r="L28" i="1" s="1"/>
  <c r="K22" i="1"/>
  <c r="L22" i="1" s="1"/>
  <c r="K16" i="1"/>
  <c r="L16" i="1" s="1"/>
  <c r="K52" i="1"/>
  <c r="L52" i="1" s="1"/>
  <c r="K46" i="1"/>
  <c r="L46" i="1" s="1"/>
  <c r="K34" i="1"/>
  <c r="L34" i="1" s="1"/>
  <c r="K10" i="1"/>
  <c r="L10" i="1" s="1"/>
  <c r="K64" i="1"/>
  <c r="L64" i="1" s="1"/>
  <c r="K58" i="1"/>
  <c r="L58" i="1" s="1"/>
  <c r="P14" i="18" l="1"/>
  <c r="V22" i="18"/>
  <c r="V14" i="18"/>
  <c r="AH14" i="18"/>
  <c r="AH38" i="18"/>
  <c r="J14" i="18"/>
  <c r="AB6" i="18"/>
  <c r="P22" i="18"/>
  <c r="AB22" i="18"/>
  <c r="V30" i="18"/>
  <c r="AB14" i="18"/>
  <c r="J30" i="18"/>
  <c r="P38" i="18"/>
  <c r="AB38" i="18"/>
  <c r="J38" i="18"/>
  <c r="AH6" i="18"/>
  <c r="V6" i="18"/>
  <c r="AB30" i="18"/>
  <c r="J6" i="18"/>
  <c r="P30" i="18"/>
  <c r="AH22" i="18"/>
  <c r="P6" i="18"/>
  <c r="M10" i="1"/>
  <c r="AB10" i="1" s="1"/>
  <c r="AH30" i="18"/>
  <c r="J22" i="18"/>
  <c r="V38" i="18"/>
  <c r="N10" i="1"/>
  <c r="L16" i="18"/>
  <c r="R24" i="18"/>
  <c r="L8" i="18"/>
  <c r="R32" i="18"/>
  <c r="AJ16" i="18"/>
  <c r="R8" i="18"/>
  <c r="AD32" i="18"/>
  <c r="AJ32" i="18"/>
  <c r="AD8" i="18"/>
  <c r="X40" i="18"/>
  <c r="N34" i="1"/>
  <c r="L32" i="18"/>
  <c r="X8" i="18"/>
  <c r="X24" i="18"/>
  <c r="M34" i="1"/>
  <c r="R40" i="18"/>
  <c r="L40" i="18"/>
  <c r="X16" i="18"/>
  <c r="AD24" i="18"/>
  <c r="X32" i="18"/>
  <c r="AJ40" i="18"/>
  <c r="R16" i="18"/>
  <c r="AD40" i="18"/>
  <c r="AJ8" i="18"/>
  <c r="AJ24" i="18"/>
  <c r="AD16" i="18"/>
  <c r="L24" i="18"/>
  <c r="M46" i="1"/>
  <c r="J42" i="18"/>
  <c r="P34" i="18"/>
  <c r="AB18" i="18"/>
  <c r="AH34" i="18"/>
  <c r="P10" i="18"/>
  <c r="V34" i="18"/>
  <c r="P42" i="18"/>
  <c r="J34" i="18"/>
  <c r="AH42" i="18"/>
  <c r="AB26" i="18"/>
  <c r="AH26" i="18"/>
  <c r="V26" i="18"/>
  <c r="AH18" i="18"/>
  <c r="J10" i="18"/>
  <c r="V18" i="18"/>
  <c r="AB42" i="18"/>
  <c r="AB10" i="18"/>
  <c r="J18" i="18"/>
  <c r="N46" i="1"/>
  <c r="J26" i="18"/>
  <c r="AH10" i="18"/>
  <c r="P18" i="18"/>
  <c r="V42" i="18"/>
  <c r="P26" i="18"/>
  <c r="V10" i="18"/>
  <c r="AB34" i="18"/>
  <c r="X42" i="18"/>
  <c r="AD34" i="18"/>
  <c r="AD10" i="18"/>
  <c r="L42" i="18"/>
  <c r="L26" i="18"/>
  <c r="X18" i="18"/>
  <c r="AD26" i="18"/>
  <c r="R18" i="18"/>
  <c r="AJ10" i="18"/>
  <c r="AD42" i="18"/>
  <c r="AJ34" i="18"/>
  <c r="R26" i="18"/>
  <c r="M52" i="1"/>
  <c r="L18" i="18"/>
  <c r="R34" i="18"/>
  <c r="L34" i="18"/>
  <c r="AJ42" i="18"/>
  <c r="R10" i="18"/>
  <c r="AJ26" i="18"/>
  <c r="R42" i="18"/>
  <c r="X26" i="18"/>
  <c r="AJ18" i="18"/>
  <c r="N52" i="1"/>
  <c r="X34" i="18"/>
  <c r="X10" i="18"/>
  <c r="AD18" i="18"/>
  <c r="L10" i="18"/>
  <c r="X6" i="18"/>
  <c r="AJ30" i="18"/>
  <c r="R22" i="18"/>
  <c r="L6" i="18"/>
  <c r="R30" i="18"/>
  <c r="X22" i="18"/>
  <c r="AD38" i="18"/>
  <c r="N16" i="1"/>
  <c r="AD22" i="18"/>
  <c r="M16" i="1"/>
  <c r="L14" i="18"/>
  <c r="L30" i="18"/>
  <c r="R38" i="18"/>
  <c r="AJ14" i="18"/>
  <c r="R14" i="18"/>
  <c r="AD30" i="18"/>
  <c r="AJ38" i="18"/>
  <c r="AJ22" i="18"/>
  <c r="X30" i="18"/>
  <c r="AJ6" i="18"/>
  <c r="L38" i="18"/>
  <c r="AD14" i="18"/>
  <c r="AD6" i="18"/>
  <c r="L22" i="18"/>
  <c r="R6" i="18"/>
  <c r="X14" i="18"/>
  <c r="X38" i="18"/>
  <c r="T14" i="18"/>
  <c r="AL38" i="18"/>
  <c r="N14" i="18"/>
  <c r="T38" i="18"/>
  <c r="T22" i="18"/>
  <c r="AL14" i="18"/>
  <c r="N22" i="18"/>
  <c r="AF22" i="18"/>
  <c r="N6" i="18"/>
  <c r="AF6" i="18"/>
  <c r="AF38" i="18"/>
  <c r="Z6" i="18"/>
  <c r="N38" i="18"/>
  <c r="AL30" i="18"/>
  <c r="AL22" i="18"/>
  <c r="T6" i="18"/>
  <c r="AF30" i="18"/>
  <c r="Z22" i="18"/>
  <c r="T30" i="18"/>
  <c r="M22" i="1"/>
  <c r="AL6" i="18"/>
  <c r="Z14" i="18"/>
  <c r="Z38" i="18"/>
  <c r="AF14" i="18"/>
  <c r="N22" i="1"/>
  <c r="Z30" i="18"/>
  <c r="N30" i="18"/>
  <c r="Z42" i="18"/>
  <c r="T18" i="18"/>
  <c r="AF34" i="18"/>
  <c r="AF42" i="18"/>
  <c r="N42" i="18"/>
  <c r="Z18" i="18"/>
  <c r="AL10" i="18"/>
  <c r="AL26" i="18"/>
  <c r="AF26" i="18"/>
  <c r="Z10" i="18"/>
  <c r="N18" i="18"/>
  <c r="T26" i="18"/>
  <c r="N26" i="18"/>
  <c r="AL18" i="18"/>
  <c r="N10" i="18"/>
  <c r="AF18" i="18"/>
  <c r="Z26" i="18"/>
  <c r="AL34" i="18"/>
  <c r="M58" i="1"/>
  <c r="T10" i="18"/>
  <c r="N58" i="1"/>
  <c r="AL42" i="18"/>
  <c r="N34" i="18"/>
  <c r="AF10" i="18"/>
  <c r="T34" i="18"/>
  <c r="T42" i="18"/>
  <c r="Z34" i="18"/>
  <c r="J40" i="18"/>
  <c r="AB40" i="18"/>
  <c r="AH32" i="18"/>
  <c r="AB24" i="18"/>
  <c r="J16" i="18"/>
  <c r="P32" i="18"/>
  <c r="V24" i="18"/>
  <c r="P24" i="18"/>
  <c r="V16" i="18"/>
  <c r="P16" i="18"/>
  <c r="P40" i="18"/>
  <c r="V32" i="18"/>
  <c r="V8" i="18"/>
  <c r="AH24" i="18"/>
  <c r="AH8" i="18"/>
  <c r="J8" i="18"/>
  <c r="AB32" i="18"/>
  <c r="AB8" i="18"/>
  <c r="N28" i="1"/>
  <c r="J24" i="18"/>
  <c r="J32" i="18"/>
  <c r="P8" i="18"/>
  <c r="AH16" i="18"/>
  <c r="M28" i="1"/>
  <c r="AB16" i="18"/>
  <c r="V40" i="18"/>
  <c r="AH40" i="18"/>
  <c r="AH12" i="18"/>
  <c r="J20" i="18"/>
  <c r="J44" i="18"/>
  <c r="AB28" i="18"/>
  <c r="P28" i="18"/>
  <c r="N64" i="1"/>
  <c r="P12" i="18"/>
  <c r="AH20" i="18"/>
  <c r="P44" i="18"/>
  <c r="AB12" i="18"/>
  <c r="P36" i="18"/>
  <c r="AB44" i="18"/>
  <c r="V44" i="18"/>
  <c r="J28" i="18"/>
  <c r="V12" i="18"/>
  <c r="V28" i="18"/>
  <c r="AH44" i="18"/>
  <c r="M64" i="1"/>
  <c r="AB64" i="1" s="1"/>
  <c r="AA64" i="1" s="1"/>
  <c r="AH28" i="18"/>
  <c r="V36" i="18"/>
  <c r="V20" i="18"/>
  <c r="P20" i="18"/>
  <c r="AB36" i="18"/>
  <c r="J12" i="18"/>
  <c r="AH36" i="18"/>
  <c r="J36" i="18"/>
  <c r="AB20" i="18"/>
  <c r="AF24" i="18"/>
  <c r="AF32" i="18"/>
  <c r="Z40" i="18"/>
  <c r="AL8" i="18"/>
  <c r="AF8" i="18"/>
  <c r="Z32" i="18"/>
  <c r="N16" i="18"/>
  <c r="AL40" i="18"/>
  <c r="Z16" i="18"/>
  <c r="T24" i="18"/>
  <c r="AL24" i="18"/>
  <c r="N32" i="18"/>
  <c r="Z8" i="18"/>
  <c r="N24" i="18"/>
  <c r="T32" i="18"/>
  <c r="T16" i="18"/>
  <c r="AF40" i="18"/>
  <c r="T8" i="18"/>
  <c r="AL32" i="18"/>
  <c r="N40" i="18"/>
  <c r="Z24" i="18"/>
  <c r="AL16" i="18"/>
  <c r="N8" i="18"/>
  <c r="M40" i="1"/>
  <c r="N40" i="1"/>
  <c r="T40" i="18"/>
  <c r="AF16" i="18"/>
  <c r="AA10" i="1" l="1"/>
  <c r="AB11" i="1"/>
  <c r="AA11" i="1" s="1"/>
  <c r="V25" i="19"/>
  <c r="V45" i="19"/>
  <c r="J15" i="19"/>
  <c r="AB45" i="19"/>
  <c r="AH25" i="19"/>
  <c r="AH55" i="19"/>
  <c r="AB15" i="19"/>
  <c r="P15" i="19"/>
  <c r="P45" i="19"/>
  <c r="V15" i="19"/>
  <c r="J35" i="19"/>
  <c r="AH45" i="19"/>
  <c r="J25" i="19"/>
  <c r="AB35" i="19"/>
  <c r="AH15" i="19"/>
  <c r="V35" i="19"/>
  <c r="J55" i="19"/>
  <c r="AB55" i="19"/>
  <c r="AC64" i="1"/>
  <c r="AB25" i="19"/>
  <c r="V55" i="19"/>
  <c r="J45" i="19"/>
  <c r="P25" i="19"/>
  <c r="P35" i="19"/>
  <c r="AH35" i="19"/>
  <c r="P55" i="19"/>
  <c r="AB12" i="1" l="1"/>
  <c r="AA12" i="1" s="1"/>
  <c r="AJ46" i="19" s="1"/>
  <c r="W36" i="19"/>
  <c r="AC36" i="19"/>
  <c r="K16" i="19"/>
  <c r="K46" i="19"/>
  <c r="AI46" i="19"/>
  <c r="AC46" i="19"/>
  <c r="Q46" i="19"/>
  <c r="AC26" i="19"/>
  <c r="AC16" i="19"/>
  <c r="W16" i="19"/>
  <c r="K36" i="19"/>
  <c r="Q26" i="19"/>
  <c r="AI26" i="19"/>
  <c r="AC11" i="1"/>
  <c r="Q6" i="19"/>
  <c r="K6" i="19"/>
  <c r="Q16" i="19"/>
  <c r="AI36" i="19"/>
  <c r="AI6" i="19"/>
  <c r="AI16" i="19"/>
  <c r="Q36" i="19"/>
  <c r="W6" i="19"/>
  <c r="AC6" i="19"/>
  <c r="W26" i="19"/>
  <c r="K26" i="19"/>
  <c r="W46" i="19"/>
  <c r="P16" i="19"/>
  <c r="P6" i="19"/>
  <c r="AH6" i="19"/>
  <c r="V46" i="19"/>
  <c r="AH46" i="19"/>
  <c r="AB46" i="19"/>
  <c r="J6" i="19"/>
  <c r="P46" i="19"/>
  <c r="AB26" i="19"/>
  <c r="AB16" i="19"/>
  <c r="AH26" i="19"/>
  <c r="J16" i="19"/>
  <c r="V26" i="19"/>
  <c r="AH36" i="19"/>
  <c r="P26" i="19"/>
  <c r="V16" i="19"/>
  <c r="V36" i="19"/>
  <c r="AC10" i="1"/>
  <c r="J46" i="19"/>
  <c r="AB36" i="19"/>
  <c r="AB6" i="19"/>
  <c r="P36" i="19"/>
  <c r="J36" i="19"/>
  <c r="AH16" i="19"/>
  <c r="J26" i="19"/>
  <c r="V6" i="19"/>
  <c r="R36" i="19" l="1"/>
  <c r="L26" i="19"/>
  <c r="L16" i="19"/>
  <c r="L46" i="19"/>
  <c r="AJ36" i="19"/>
  <c r="AD36" i="19"/>
  <c r="X16" i="19"/>
  <c r="X6" i="19"/>
  <c r="X26" i="19"/>
  <c r="AD6" i="19"/>
  <c r="AJ16" i="19"/>
  <c r="AD26" i="19"/>
  <c r="R6" i="19"/>
  <c r="X46" i="19"/>
  <c r="AD46" i="19"/>
  <c r="R16" i="19"/>
  <c r="R26" i="19"/>
  <c r="AJ6" i="19"/>
  <c r="AC12" i="1"/>
  <c r="R46" i="19"/>
  <c r="L36" i="19"/>
  <c r="X36" i="19"/>
  <c r="L6" i="19"/>
  <c r="AJ26" i="19"/>
  <c r="AD16" i="19"/>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<sst xmlns="http://schemas.openxmlformats.org/spreadsheetml/2006/main" count="337" uniqueCount="228">
  <si>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</si>
  <si>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</si>
  <si>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</si>
  <si>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</si>
  <si>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</si>
  <si>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</si>
  <si>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</si>
  <si>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</si>
  <si>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</si>
  <si>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</si>
  <si>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</si>
  <si>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</si>
  <si>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</si>
  <si>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</si>
  <si>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</si>
  <si>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</si>
  <si>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</si>
  <si>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</si>
  <si>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</si>
  <si>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</si>
  <si>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</si>
  <si>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</si>
  <si>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</si>
  <si>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</si>
  <si>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</si>
  <si>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</si>
  <si>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</si>
  <si>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</si>
  <si>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</si>
  <si>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</si>
  <si>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</si>
  <si>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</si>
  <si>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</si>
  <si>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</si>
  <si>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</si>
  <si>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</si>
  <si>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</si>
  <si>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</si>
  <si>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</si>
  <si>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</si>
  <si>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</si>
  <si>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</si>
  <si>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</si>
  <si>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</si>
  <si>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</si>
  <si>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</si>
  <si>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</si>
  <si>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</si>
  <si>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</si>
  <si>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</si>
  <si>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</si>
  <si>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</si>
  <si>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</si>
  <si>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</si>
  <si>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</si>
  <si>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</si>
  <si>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</si>
  <si>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</si>
  <si>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</si>
  <si>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</si>
  <si>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</si>
  <si>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</si>
  <si>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</si>
  <si>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</si>
  <si>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</si>
  <si>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</si>
  <si>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</si>
  <si>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</si>
  <si>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</si>
  <si>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</si>
  <si>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</si>
  <si>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</si>
  <si>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</si>
  <si>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</si>
  <si>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</si>
  <si>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</si>
  <si>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</si>
  <si>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</si>
  <si>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</si>
  <si>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</si>
  <si>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</si>
  <si>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</si>
  <si>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</si>
  <si>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</si>
  <si>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</si>
  <si>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</si>
  <si>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</si>
  <si>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</si>
  <si>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</si>
  <si>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</si>
  <si>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</si>
  <si>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</si>
  <si>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</si>
  <si>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</si>
  <si>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</si>
  <si>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</si>
  <si>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</si>
  <si>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</si>
  <si>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</si>
  <si>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</si>
  <si>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</si>
  <si>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</si>
  <si>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</si>
  <si>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</si>
  <si>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</si>
  <si>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</si>
  <si>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</si>
  <si>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</si>
  <si>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</si>
  <si>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</si>
  <si>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</si>
  <si>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</si>
  <si>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</si>
  <si>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</si>
  <si>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</si>
  <si>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</si>
  <si>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</si>
  <si>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</si>
  <si>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</si>
  <si>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</si>
  <si>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</si>
  <si>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</si>
  <si>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</si>
  <si>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</si>
  <si>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</si>
  <si>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</si>
  <si>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</si>
  <si>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</si>
  <si>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</si>
  <si>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</si>
  <si>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</si>
  <si>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</si>
  <si>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</si>
  <si>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</si>
  <si>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</si>
  <si>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</si>
  <si>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</si>
  <si>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</si>
  <si>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</si>
  <si>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</si>
  <si>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</si>
  <si>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</si>
  <si>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</si>
  <si>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</si>
  <si>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</si>
  <si>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</si>
  <si>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</si>
  <si>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</si>
  <si>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</si>
  <si>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</si>
  <si>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</si>
  <si>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</si>
  <si>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</si>
  <si>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</si>
  <si>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</si>
  <si>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</si>
  <si>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</si>
  <si>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</si>
  <si>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</si>
  <si>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</si>
  <si>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</si>
  <si>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</si>
  <si>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</si>
  <si>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</si>
  <si>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</si>
  <si>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</si>
  <si>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</si>
  <si>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</si>
  <si>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</si>
  <si>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</si>
  <si>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</si>
  <si>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</si>
  <si>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</si>
  <si>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</si>
  <si>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</si>
  <si>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</si>
  <si>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</si>
  <si>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</si>
  <si>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</si>
  <si>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</si>
  <si>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</si>
  <si>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</si>
  <si>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</si>
  <si>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</si>
  <si>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</si>
  <si>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</si>
  <si>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</si>
  <si>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</si>
  <si>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</si>
  <si>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</si>
  <si>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</si>
  <si>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</si>
  <si>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</si>
  <si>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</si>
  <si>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</si>
  <si>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</si>
  <si>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</si>
  <si>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</si>
  <si>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</si>
  <si>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</si>
  <si>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</si>
  <si>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</si>
  <si>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</si>
  <si>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</si>
  <si>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</si>
  <si>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</si>
  <si>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</si>
  <si>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</si>
  <si>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</si>
  <si>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</si>
  <si>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</si>
  <si>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</si>
  <si>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</si>
  <si>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</si>
  <si>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Asegurar la calidad de los programas académicos. Para garantizar la formación integral de los estudiantes de la Institución.</t>
  </si>
  <si>
    <t>r</t>
  </si>
  <si>
    <t>Vicerrectoría Académica</t>
  </si>
  <si>
    <t>Todos los procesos</t>
  </si>
  <si>
    <t>PROYECCIÓN SOCIAL</t>
  </si>
  <si>
    <t>Falta de estructura organizativa para este proceso</t>
  </si>
  <si>
    <t>1. No dar a las actividades de extensión la connotación de función sustantiva de la Educación Superior. 2. Falta de Planeación, organización y documentación del proceso.</t>
  </si>
  <si>
    <t xml:space="preserve">Revisar la Estructura organizativa de la proyección social, realizar ajustes si son necesarios y asignar los responsables </t>
  </si>
  <si>
    <t>Ajustar y actualizar los procesos y procedimientos de Proyección Social</t>
  </si>
  <si>
    <t>Estructura y procedimientos de la proyección social en la Institución</t>
  </si>
  <si>
    <t>La planeación, organización y documentación de las actividades de proyección social institucional por parte de la Viceacademica</t>
  </si>
  <si>
    <t>Posible desactualización de las funciones sustantivas de extensión en la Educación Superior.</t>
  </si>
  <si>
    <t>Se evidencia la creación del grupo interno de proyección social y procedimientos de proyección social con responsabilidad de la Vicerectoría Académica, se evidencia la contratación de un profesional para apoyar el proceso de Internacionalización</t>
  </si>
  <si>
    <t>Se evidencia la actualización de los procedimientos de proyección social con el acompañamiento de la oficina de SGC, así mismo los formatos para los registros de los mismos, lo anterior como plan de mejora de auditorí interna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</si>
</sst>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xr:uid="{00000000-0005-0000-0000-000001000000}"/>
    <cellStyle name="Normal 2" xfId="4" xr:uid="{00000000-0005-0000-0000-000002000000}"/>
    <cellStyle name="Normal 2 2" xfId="3" xr:uid="{00000000-0005-0000-0000-000003000000}"/>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000000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TablaDinámica1" cacheId="1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09:C219" totalsRowShown="0" headerRowDxfId="3" dataDxfId="2">
  <autoFilter ref="B209:C219" xr:uid="{00000000-0009-0000-0100-000001000000}"/>
  <tableColumns count="2">
    <tableColumn id="1" xr3:uid="{00000000-0010-0000-0000-000001000000}" name="Criterios" dataDxfId="1"/>
    <tableColumn id="2" xr3:uid="{00000000-0010-0000-0000-000002000000}"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5"/>
  <sheetViews>
    <sheetView topLeftCell="C21" zoomScale="110" zoomScaleNormal="110" workbookViewId="0">
      <selection activeCell="E25" sqref="E25:F25"/>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BP72"/>
  <sheetViews>
    <sheetView tabSelected="1" topLeftCell="U1" zoomScaleNormal="100" workbookViewId="0">
      <selection activeCell="AJ12" sqref="AJ1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218</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214</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217</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134</v>
      </c>
      <c r="C10" s="179" t="s">
        <v>220</v>
      </c>
      <c r="D10" s="179" t="s">
        <v>219</v>
      </c>
      <c r="E10" s="191" t="s">
        <v>225</v>
      </c>
      <c r="F10" s="179" t="s">
        <v>123</v>
      </c>
      <c r="G10" s="182">
        <v>2</v>
      </c>
      <c r="H10" s="185" t="str">
        <f>IF(G10&lt;=0,"",IF(G10&lt;=2,"Muy Baja",IF(G10&lt;=24,"Baja",IF(G10&lt;=500,"Media",IF(G10&lt;=5000,"Alta","Muy Alta")))))</f>
        <v>Muy Baja</v>
      </c>
      <c r="I10" s="197">
        <f>IF(H10="","",IF(H10="Muy Baja",0.2,IF(H10="Baja",0.4,IF(H10="Media",0.6,IF(H10="Alta",0.8,IF(H10="Muy Alta",1,))))))</f>
        <v>0.2</v>
      </c>
      <c r="J10" s="200" t="s">
        <v>153</v>
      </c>
      <c r="K10" s="197" t="str">
        <f>IF(NOT(ISERROR(MATCH(J10,'Tabla Impacto'!$B$221:$B$223,0))),'Tabla Impacto'!$F$223&amp;"Por favor no seleccionar los criterios de impacto(Afectación Económica o presupuestal y Pérdida Reputacional)",J10)</f>
        <v xml:space="preserve">     El riesgo afecta la imagen de alguna área de la organización</v>
      </c>
      <c r="L10" s="185" t="str">
        <f>IF(OR(K10='Tabla Impacto'!$C$11,K10='Tabla Impacto'!$D$11),"Leve",IF(OR(K10='Tabla Impacto'!$C$12,K10='Tabla Impacto'!$D$12),"Menor",IF(OR(K10='Tabla Impacto'!$C$13,K10='Tabla Impacto'!$D$13),"Moderado",IF(OR(K10='Tabla Impacto'!$C$14,K10='Tabla Impacto'!$D$14),"Mayor",IF(OR(K10='Tabla Impacto'!$C$15,K10='Tabla Impacto'!$D$15),"Catastrófico","")))))</f>
        <v>Leve</v>
      </c>
      <c r="M10" s="197">
        <f>IF(L10="","",IF(L10="Leve",0.2,IF(L10="Menor",0.4,IF(L10="Moderado",0.6,IF(L10="Mayor",0.8,IF(L10="Catastrófico",1,))))))</f>
        <v>0.2</v>
      </c>
      <c r="N10" s="194" t="str">
        <f>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223</v>
      </c>
      <c r="Q10" s="127" t="str">
        <f>IF(OR(R10="Preventivo",R10="Detectivo"),"Probabilidad",IF(R10="Correctivo","Impacto",""))</f>
        <v>Impacto</v>
      </c>
      <c r="R10" s="128" t="s">
        <v>16</v>
      </c>
      <c r="S10" s="128" t="s">
        <v>9</v>
      </c>
      <c r="T10" s="129" t="str">
        <f>IF(AND(R10="Preventivo",S10="Automático"),"50%",IF(AND(R10="Preventivo",S10="Manual"),"40%",IF(AND(R10="Detectivo",S10="Automático"),"40%",IF(AND(R10="Detectivo",S10="Manual"),"30%",IF(AND(R10="Correctivo",S10="Automático"),"35%",IF(AND(R10="Correctivo",S10="Manual"),"25%",""))))))</f>
        <v>25%</v>
      </c>
      <c r="U10" s="128" t="s">
        <v>19</v>
      </c>
      <c r="V10" s="128" t="s">
        <v>22</v>
      </c>
      <c r="W10" s="128" t="s">
        <v>119</v>
      </c>
      <c r="X10" s="130">
        <f>IFERROR(IF(Q10="Probabilidad",(I10-(+I10*T10)),IF(Q10="Impacto",I10,"")),"")</f>
        <v>0.2</v>
      </c>
      <c r="Y10" s="131" t="str">
        <f>IFERROR(IF(X10="","",IF(X10&lt;=0.2,"Muy Baja",IF(X10&lt;=0.4,"Baja",IF(X10&lt;=0.6,"Media",IF(X10&lt;=0.8,"Alta","Muy Alta"))))),"")</f>
        <v>Muy Baja</v>
      </c>
      <c r="Z10" s="132">
        <f>+X10</f>
        <v>0.2</v>
      </c>
      <c r="AA10" s="131" t="str">
        <f>IFERROR(IF(AB10="","",IF(AB10&lt;=0.2,"Leve",IF(AB10&lt;=0.4,"Menor",IF(AB10&lt;=0.6,"Moderado",IF(AB10&lt;=0.8,"Mayor","Catastrófico"))))),"")</f>
        <v>Leve</v>
      </c>
      <c r="AB10" s="132">
        <f>IFERROR(IF(Q10="Impacto",(M10-(+M10*T10)),IF(Q10="Probabilidad",M10,"")),"")</f>
        <v>0.15000000000000002</v>
      </c>
      <c r="AC10" s="133" t="str">
        <f>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221</v>
      </c>
      <c r="AF10" s="136" t="s">
        <v>216</v>
      </c>
      <c r="AG10" s="137">
        <v>45657</v>
      </c>
      <c r="AH10" s="137">
        <v>45657</v>
      </c>
      <c r="AI10" s="135" t="s">
        <v>226</v>
      </c>
      <c r="AJ10" s="136" t="s">
        <v>40</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IF(NOT(ISERROR(MATCH(J11,_xlfn.ANCHORARRAY(E22),0))),I24&amp;"Por favor no seleccionar los criterios de impacto",J11)</f>
        <v>0</v>
      </c>
      <c r="L11" s="186"/>
      <c r="M11" s="198"/>
      <c r="N11" s="195"/>
      <c r="O11" s="125">
        <v>2</v>
      </c>
      <c r="P11" s="126" t="s">
        <v>224</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t="s">
        <v>19</v>
      </c>
      <c r="V11" s="128" t="s">
        <v>22</v>
      </c>
      <c r="W11" s="128" t="s">
        <v>119</v>
      </c>
      <c r="X11" s="130">
        <f>IFERROR(IF(AND(Q10="Probabilidad",Q11="Probabilidad"),(Z10-(+Z10*T11)),IF(Q11="Probabilidad",(I10-(+I10*T11)),IF(Q11="Impacto",Z10,""))),"")</f>
        <v>0.2</v>
      </c>
      <c r="Y11" s="131" t="str">
        <f t="shared" ref="Y11:Y69" si="1">IFERROR(IF(X11="","",IF(X11&lt;=0.2,"Muy Baja",IF(X11&lt;=0.4,"Baja",IF(X11&lt;=0.6,"Media",IF(X11&lt;=0.8,"Alta","Muy Alta"))))),"")</f>
        <v>Muy Baja</v>
      </c>
      <c r="Z11" s="132">
        <f t="shared" ref="Z11:Z15" si="2">+X11</f>
        <v>0.2</v>
      </c>
      <c r="AA11" s="131" t="str">
        <f t="shared" ref="AA11:AA69" si="3">IFERROR(IF(AB11="","",IF(AB11&lt;=0.2,"Leve",IF(AB11&lt;=0.4,"Menor",IF(AB11&lt;=0.6,"Moderado",IF(AB11&lt;=0.8,"Mayor","Catastrófico"))))),"")</f>
        <v>Leve</v>
      </c>
      <c r="AB11" s="132">
        <f>IFERROR(IF(AND(Q10="Impacto",Q11="Impacto"),(AB10-(+AB10*T11)),IF(Q11="Impacto",($M$10-(+$M$10*T11)),IF(Q11="Probabilidad",AB10,""))),"")</f>
        <v>0.11250000000000002</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222</v>
      </c>
      <c r="AF11" s="136" t="s">
        <v>216</v>
      </c>
      <c r="AG11" s="137">
        <v>45657</v>
      </c>
      <c r="AH11" s="137">
        <v>45657</v>
      </c>
      <c r="AI11" s="135" t="s">
        <v>227</v>
      </c>
      <c r="AJ11" s="136" t="s">
        <v>40</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IF(NOT(ISERROR(MATCH(J12,_xlfn.ANCHORARRAY(E23),0))),I25&amp;"Por favor no seleccionar los criterios de impacto",J12)</f>
        <v>0</v>
      </c>
      <c r="L12" s="186"/>
      <c r="M12" s="198"/>
      <c r="N12" s="195"/>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c r="C16" s="179"/>
      <c r="D16" s="179"/>
      <c r="E16" s="191" t="s">
        <v>215</v>
      </c>
      <c r="F16" s="179"/>
      <c r="G16" s="182"/>
      <c r="H16" s="185" t="str">
        <f>IF(G16&lt;=0,"",IF(G16&lt;=2,"Muy Baja",IF(G16&lt;=24,"Baja",IF(G16&lt;=500,"Media",IF(G16&lt;=5000,"Alta","Muy Alta")))))</f>
        <v/>
      </c>
      <c r="I16" s="197" t="str">
        <f>IF(H16="","",IF(H16="Muy Baja",0.2,IF(H16="Baja",0.4,IF(H16="Media",0.6,IF(H16="Alta",0.8,IF(H16="Muy Alta",1,))))))</f>
        <v/>
      </c>
      <c r="J16" s="200"/>
      <c r="K16" s="197">
        <f>IF(NOT(ISERROR(MATCH(J16,'Tabla Impacto'!$B$221:$B$223,0))),'Tabla Impacto'!$F$223&amp;"Por favor no seleccionar los criterios de impacto(Afectación Económica o presupuestal y Pérdida Reputacional)",J16)</f>
        <v>0</v>
      </c>
      <c r="L16" s="185" t="str">
        <f>IF(OR(K16='Tabla Impacto'!$C$11,K16='Tabla Impacto'!$D$11),"Leve",IF(OR(K16='Tabla Impacto'!$C$12,K16='Tabla Impacto'!$D$12),"Menor",IF(OR(K16='Tabla Impacto'!$C$13,K16='Tabla Impacto'!$D$13),"Moderado",IF(OR(K16='Tabla Impacto'!$C$14,K16='Tabla Impacto'!$D$14),"Mayor",IF(OR(K16='Tabla Impacto'!$C$15,K16='Tabla Impacto'!$D$15),"Catastrófico","")))))</f>
        <v/>
      </c>
      <c r="M16" s="197" t="str">
        <f>IF(L16="","",IF(L16="Leve",0.2,IF(L16="Menor",0.4,IF(L16="Moderado",0.6,IF(L16="Mayor",0.8,IF(L16="Catastrófico",1,))))))</f>
        <v/>
      </c>
      <c r="N16" s="194" t="str">
        <f>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IF(NOT(ISERROR(MATCH(J22,'Tabla Impacto'!$B$221:$B$223,0))),'Tabla Impacto'!$F$223&amp;"Por favor no seleccionar los criterios de impacto(Afectación Económica o presupuestal y Pérdida Reputacional)",J22)</f>
        <v>0</v>
      </c>
      <c r="L22" s="185" t="str">
        <f>IF(OR(K22='Tabla Impacto'!$C$11,K22='Tabla Impacto'!$D$11),"Leve",IF(OR(K22='Tabla Impacto'!$C$12,K22='Tabla Impacto'!$D$12),"Menor",IF(OR(K22='Tabla Impacto'!$C$13,K22='Tabla Impacto'!$D$13),"Moderado",IF(OR(K22='Tabla Impacto'!$C$14,K22='Tabla Impacto'!$D$14),"Mayor",IF(OR(K22='Tabla Impacto'!$C$15,K22='Tabla Impacto'!$D$15),"Catastrófico","")))))</f>
        <v/>
      </c>
      <c r="M22" s="197" t="str">
        <f>IF(L22="","",IF(L22="Leve",0.2,IF(L22="Menor",0.4,IF(L22="Moderado",0.6,IF(L22="Mayor",0.8,IF(L22="Catastrófico",1,))))))</f>
        <v/>
      </c>
      <c r="N22" s="194" t="str">
        <f>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IF(NOT(ISERROR(MATCH(J28,'Tabla Impacto'!$B$221:$B$223,0))),'Tabla Impacto'!$F$223&amp;"Por favor no seleccionar los criterios de impacto(Afectación Económica o presupuestal y Pérdida Reputacional)",J28)</f>
        <v>0</v>
      </c>
      <c r="L28" s="185" t="str">
        <f>IF(OR(K28='Tabla Impacto'!$C$11,K28='Tabla Impacto'!$D$11),"Leve",IF(OR(K28='Tabla Impacto'!$C$12,K28='Tabla Impacto'!$D$12),"Menor",IF(OR(K28='Tabla Impacto'!$C$13,K28='Tabla Impacto'!$D$13),"Moderado",IF(OR(K28='Tabla Impacto'!$C$14,K28='Tabla Impacto'!$D$14),"Mayor",IF(OR(K28='Tabla Impacto'!$C$15,K28='Tabla Impacto'!$D$15),"Catastrófico","")))))</f>
        <v/>
      </c>
      <c r="M28" s="197" t="str">
        <f>IF(L28="","",IF(L28="Leve",0.2,IF(L28="Menor",0.4,IF(L28="Moderado",0.6,IF(L28="Mayor",0.8,IF(L28="Catastrófico",1,))))))</f>
        <v/>
      </c>
      <c r="N28" s="194" t="str">
        <f>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IF(NOT(ISERROR(MATCH(J34,'Tabla Impacto'!$B$221:$B$223,0))),'Tabla Impacto'!$F$223&amp;"Por favor no seleccionar los criterios de impacto(Afectación Económica o presupuestal y Pérdida Reputacional)",J34)</f>
        <v>0</v>
      </c>
      <c r="L34" s="185" t="str">
        <f>IF(OR(K34='Tabla Impacto'!$C$11,K34='Tabla Impacto'!$D$11),"Leve",IF(OR(K34='Tabla Impacto'!$C$12,K34='Tabla Impacto'!$D$12),"Menor",IF(OR(K34='Tabla Impacto'!$C$13,K34='Tabla Impacto'!$D$13),"Moderado",IF(OR(K34='Tabla Impacto'!$C$14,K34='Tabla Impacto'!$D$14),"Mayor",IF(OR(K34='Tabla Impacto'!$C$15,K34='Tabla Impacto'!$D$15),"Catastrófico","")))))</f>
        <v/>
      </c>
      <c r="M34" s="197" t="str">
        <f>IF(L34="","",IF(L34="Leve",0.2,IF(L34="Menor",0.4,IF(L34="Moderado",0.6,IF(L34="Mayor",0.8,IF(L34="Catastrófico",1,))))))</f>
        <v/>
      </c>
      <c r="N34" s="194" t="str">
        <f>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IF(NOT(ISERROR(MATCH(J40,'Tabla Impacto'!$B$221:$B$223,0))),'Tabla Impacto'!$F$223&amp;"Por favor no seleccionar los criterios de impacto(Afectación Económica o presupuestal y Pérdida Reputacional)",J40)</f>
        <v>0</v>
      </c>
      <c r="L40" s="185" t="str">
        <f>IF(OR(K40='Tabla Impacto'!$C$11,K40='Tabla Impacto'!$D$11),"Leve",IF(OR(K40='Tabla Impacto'!$C$12,K40='Tabla Impacto'!$D$12),"Menor",IF(OR(K40='Tabla Impacto'!$C$13,K40='Tabla Impacto'!$D$13),"Moderado",IF(OR(K40='Tabla Impacto'!$C$14,K40='Tabla Impacto'!$D$14),"Mayor",IF(OR(K40='Tabla Impacto'!$C$15,K40='Tabla Impacto'!$D$15),"Catastrófico","")))))</f>
        <v/>
      </c>
      <c r="M40" s="197" t="str">
        <f>IF(L40="","",IF(L40="Leve",0.2,IF(L40="Menor",0.4,IF(L40="Moderado",0.6,IF(L40="Mayor",0.8,IF(L40="Catastrófico",1,))))))</f>
        <v/>
      </c>
      <c r="N40" s="194" t="str">
        <f>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IF(NOT(ISERROR(MATCH(J46,'Tabla Impacto'!$B$221:$B$223,0))),'Tabla Impacto'!$F$223&amp;"Por favor no seleccionar los criterios de impacto(Afectación Económica o presupuestal y Pérdida Reputacional)",J46)</f>
        <v>0</v>
      </c>
      <c r="L46" s="185" t="str">
        <f>IF(OR(K46='Tabla Impacto'!$C$11,K46='Tabla Impacto'!$D$11),"Leve",IF(OR(K46='Tabla Impacto'!$C$12,K46='Tabla Impacto'!$D$12),"Menor",IF(OR(K46='Tabla Impacto'!$C$13,K46='Tabla Impacto'!$D$13),"Moderado",IF(OR(K46='Tabla Impacto'!$C$14,K46='Tabla Impacto'!$D$14),"Mayor",IF(OR(K46='Tabla Impacto'!$C$15,K46='Tabla Impacto'!$D$15),"Catastrófico","")))))</f>
        <v/>
      </c>
      <c r="M46" s="197" t="str">
        <f>IF(L46="","",IF(L46="Leve",0.2,IF(L46="Menor",0.4,IF(L46="Moderado",0.6,IF(L46="Mayor",0.8,IF(L46="Catastrófico",1,))))))</f>
        <v/>
      </c>
      <c r="N46" s="194" t="str">
        <f>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IF(NOT(ISERROR(MATCH(J52,'Tabla Impacto'!$B$221:$B$223,0))),'Tabla Impacto'!$F$223&amp;"Por favor no seleccionar los criterios de impacto(Afectación Económica o presupuestal y Pérdida Reputacional)",J52)</f>
        <v>0</v>
      </c>
      <c r="L52" s="185" t="str">
        <f>IF(OR(K52='Tabla Impacto'!$C$11,K52='Tabla Impacto'!$D$11),"Leve",IF(OR(K52='Tabla Impacto'!$C$12,K52='Tabla Impacto'!$D$12),"Menor",IF(OR(K52='Tabla Impacto'!$C$13,K52='Tabla Impacto'!$D$13),"Moderado",IF(OR(K52='Tabla Impacto'!$C$14,K52='Tabla Impacto'!$D$14),"Mayor",IF(OR(K52='Tabla Impacto'!$C$15,K52='Tabla Impacto'!$D$15),"Catastrófico","")))))</f>
        <v/>
      </c>
      <c r="M52" s="197" t="str">
        <f>IF(L52="","",IF(L52="Leve",0.2,IF(L52="Menor",0.4,IF(L52="Moderado",0.6,IF(L52="Mayor",0.8,IF(L52="Catastrófico",1,))))))</f>
        <v/>
      </c>
      <c r="N52" s="194" t="str">
        <f>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IF(NOT(ISERROR(MATCH(J58,'Tabla Impacto'!$B$221:$B$223,0))),'Tabla Impacto'!$F$223&amp;"Por favor no seleccionar los criterios de impacto(Afectación Económica o presupuestal y Pérdida Reputacional)",J58)</f>
        <v>0</v>
      </c>
      <c r="L58" s="185" t="str">
        <f>IF(OR(K58='Tabla Impacto'!$C$11,K58='Tabla Impacto'!$D$11),"Leve",IF(OR(K58='Tabla Impacto'!$C$12,K58='Tabla Impacto'!$D$12),"Menor",IF(OR(K58='Tabla Impacto'!$C$13,K58='Tabla Impacto'!$D$13),"Moderado",IF(OR(K58='Tabla Impacto'!$C$14,K58='Tabla Impacto'!$D$14),"Mayor",IF(OR(K58='Tabla Impacto'!$C$15,K58='Tabla Impacto'!$D$15),"Catastrófico","")))))</f>
        <v/>
      </c>
      <c r="M58" s="197" t="str">
        <f>IF(L58="","",IF(L58="Leve",0.2,IF(L58="Menor",0.4,IF(L58="Moderado",0.6,IF(L58="Mayor",0.8,IF(L58="Catastrófico",1,))))))</f>
        <v/>
      </c>
      <c r="N58" s="194" t="str">
        <f>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IF(NOT(ISERROR(MATCH(J64,'Tabla Impacto'!$B$221:$B$223,0))),'Tabla Impacto'!$F$223&amp;"Por favor no seleccionar los criterios de impacto(Afectación Económica o presupuestal y Pérdida Reputacional)",J64)</f>
        <v>0</v>
      </c>
      <c r="L64" s="185" t="str">
        <f>IF(OR(K64='Tabla Impacto'!$C$11,K64='Tabla Impacto'!$D$11),"Leve",IF(OR(K64='Tabla Impacto'!$C$12,K64='Tabla Impacto'!$D$12),"Menor",IF(OR(K64='Tabla Impacto'!$C$13,K64='Tabla Impacto'!$D$13),"Moderado",IF(OR(K64='Tabla Impacto'!$C$14,K64='Tabla Impacto'!$D$14),"Mayor",IF(OR(K64='Tabla Impacto'!$C$15,K64='Tabla Impacto'!$D$15),"Catastrófico","")))))</f>
        <v/>
      </c>
      <c r="M64" s="197" t="str">
        <f>IF(L64="","",IF(L64="Leve",0.2,IF(L64="Menor",0.4,IF(L64="Moderado",0.6,IF(L64="Mayor",0.8,IF(L64="Catastrófico",1,))))))</f>
        <v/>
      </c>
      <c r="N64" s="194" t="str">
        <f>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100-000000000000}">
          <x14:formula1>
            <xm:f>'Tabla Valoración controles'!$D$4:$D$6</xm:f>
          </x14:formula1>
          <xm:sqref>R10:R69</xm:sqref>
        </x14:dataValidation>
        <x14:dataValidation type="list" allowBlank="1" showInputMessage="1" showErrorMessage="1" xr:uid="{00000000-0002-0000-0100-000001000000}">
          <x14:formula1>
            <xm:f>'Tabla Valoración controles'!$D$7:$D$8</xm:f>
          </x14:formula1>
          <xm:sqref>S10:S69</xm:sqref>
        </x14:dataValidation>
        <x14:dataValidation type="list" allowBlank="1" showInputMessage="1" showErrorMessage="1" xr:uid="{00000000-0002-0000-0100-000002000000}">
          <x14:formula1>
            <xm:f>'Tabla Valoración controles'!$D$9:$D$10</xm:f>
          </x14:formula1>
          <xm:sqref>U10:U69</xm:sqref>
        </x14:dataValidation>
        <x14:dataValidation type="list" allowBlank="1" showInputMessage="1" showErrorMessage="1" xr:uid="{00000000-0002-0000-0100-000003000000}">
          <x14:formula1>
            <xm:f>'Tabla Valoración controles'!$D$11:$D$12</xm:f>
          </x14:formula1>
          <xm:sqref>V10:V69</xm:sqref>
        </x14:dataValidation>
        <x14:dataValidation type="list" allowBlank="1" showInputMessage="1" showErrorMessage="1" xr:uid="{00000000-0002-0000-0100-000004000000}">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r:uid="{00000000-0002-0000-0100-000005000000}">
          <x14:formula1>
            <xm:f>'Tabla Valoración controles'!$D$13:$D$14</xm:f>
          </x14:formula1>
          <xm:sqref>W10:W69</xm:sqref>
        </x14:dataValidation>
        <x14:dataValidation type="list" allowBlank="1" showInputMessage="1" showErrorMessage="1" xr:uid="{00000000-0002-0000-0100-000006000000}">
          <x14:formula1>
            <xm:f>'Opciones Tratamiento'!$B$13:$B$19</xm:f>
          </x14:formula1>
          <xm:sqref>F10:F69</xm:sqref>
        </x14:dataValidation>
        <x14:dataValidation type="list" allowBlank="1" showInputMessage="1" showErrorMessage="1" xr:uid="{00000000-0002-0000-0100-000007000000}">
          <x14:formula1>
            <xm:f>'Opciones Tratamiento'!$E$2:$E$4</xm:f>
          </x14:formula1>
          <xm:sqref>B10:B69</xm:sqref>
        </x14:dataValidation>
        <x14:dataValidation type="list" allowBlank="1" showInputMessage="1" showErrorMessage="1" xr:uid="{00000000-0002-0000-0100-000008000000}">
          <x14:formula1>
            <xm:f>'Opciones Tratamiento'!$B$2:$B$5</xm:f>
          </x14:formula1>
          <xm:sqref>AD10:AD69</xm:sqref>
        </x14:dataValidation>
        <x14:dataValidation type="list" allowBlank="1" showInputMessage="1" showErrorMessage="1" xr:uid="{00000000-0002-0000-0100-000009000000}">
          <x14:formula1>
            <xm:f>'Tabla Impacto'!$F$210:$F$221</xm:f>
          </x14:formula1>
          <xm:sqref>J10:J69</xm:sqref>
        </x14:dataValidation>
        <x14:dataValidation type="custom" allowBlank="1" showInputMessage="1" showErrorMessage="1" error="Recuerde que las acciones se generan bajo la medida de mitigar el riesgo" xr:uid="{00000000-0002-0000-0100-00000A000000}">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r:uid="{00000000-0002-0000-0100-00000B000000}">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r:uid="{00000000-0002-0000-0100-00000C000000}">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r:uid="{00000000-0002-0000-0100-00000D000000}">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r:uid="{00000000-0002-0000-0100-00000E000000}">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IF(AND('Mapa final'!$H$10="Muy Alta",'Mapa final'!$L$10="Leve"),CONCATENATE("R",'Mapa final'!$A$10),"")</f>
        <v/>
      </c>
      <c r="K6" s="274"/>
      <c r="L6" s="274" t="str">
        <f>IF(AND('Mapa final'!$H$16="Muy Alta",'Mapa final'!$L$16="Leve"),CONCATENATE("R",'Mapa final'!$A$16),"")</f>
        <v/>
      </c>
      <c r="M6" s="274"/>
      <c r="N6" s="274" t="str">
        <f>IF(AND('Mapa final'!$H$22="Muy Alta",'Mapa final'!$L$22="Leve"),CONCATENATE("R",'Mapa final'!$A$22),"")</f>
        <v/>
      </c>
      <c r="O6" s="275"/>
      <c r="P6" s="273" t="str">
        <f>IF(AND('Mapa final'!$H$10="Muy Alta",'Mapa final'!$L$10="Menor"),CONCATENATE("R",'Mapa final'!$A$10),"")</f>
        <v/>
      </c>
      <c r="Q6" s="274"/>
      <c r="R6" s="274" t="str">
        <f>IF(AND('Mapa final'!$H$16="Muy Alta",'Mapa final'!$L$16="Menor"),CONCATENATE("R",'Mapa final'!$A$16),"")</f>
        <v/>
      </c>
      <c r="S6" s="274"/>
      <c r="T6" s="274" t="str">
        <f>IF(AND('Mapa final'!$H$22="Muy Alta",'Mapa final'!$L$22="Menor"),CONCATENATE("R",'Mapa final'!$A$22),"")</f>
        <v/>
      </c>
      <c r="U6" s="275"/>
      <c r="V6" s="273" t="str">
        <f>IF(AND('Mapa final'!$H$10="Muy Alta",'Mapa final'!$L$10="Moderado"),CONCATENATE("R",'Mapa final'!$A$10),"")</f>
        <v/>
      </c>
      <c r="W6" s="274"/>
      <c r="X6" s="274" t="str">
        <f>IF(AND('Mapa final'!$H$16="Muy Alta",'Mapa final'!$L$16="Moderado"),CONCATENATE("R",'Mapa final'!$A$16),"")</f>
        <v/>
      </c>
      <c r="Y6" s="274"/>
      <c r="Z6" s="274" t="str">
        <f>IF(AND('Mapa final'!$H$22="Muy Alta",'Mapa final'!$L$22="Moderado"),CONCATENATE("R",'Mapa final'!$A$22),"")</f>
        <v/>
      </c>
      <c r="AA6" s="275"/>
      <c r="AB6" s="273" t="str">
        <f>IF(AND('Mapa final'!$H$10="Muy Alta",'Mapa final'!$L$10="Mayor"),CONCATENATE("R",'Mapa final'!$A$10),"")</f>
        <v/>
      </c>
      <c r="AC6" s="274"/>
      <c r="AD6" s="274" t="str">
        <f>IF(AND('Mapa final'!$H$16="Muy Alta",'Mapa final'!$L$16="Mayor"),CONCATENATE("R",'Mapa final'!$A$16),"")</f>
        <v/>
      </c>
      <c r="AE6" s="274"/>
      <c r="AF6" s="274" t="str">
        <f>IF(AND('Mapa final'!$H$22="Muy Alta",'Mapa final'!$L$22="Mayor"),CONCATENATE("R",'Mapa final'!$A$22),"")</f>
        <v/>
      </c>
      <c r="AG6" s="275"/>
      <c r="AH6" s="263" t="str">
        <f>IF(AND('Mapa final'!$H$10="Muy Alta",'Mapa final'!$L$10="Catastrófico"),CONCATENATE("R",'Mapa final'!$A$10),"")</f>
        <v/>
      </c>
      <c r="AI6" s="264"/>
      <c r="AJ6" s="264" t="str">
        <f>IF(AND('Mapa final'!$H$16="Muy Alta",'Mapa final'!$L$16="Catastrófico"),CONCATENATE("R",'Mapa final'!$A$16),"")</f>
        <v/>
      </c>
      <c r="AK6" s="264"/>
      <c r="AL6" s="264" t="str">
        <f>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IF(AND('Mapa final'!$H$28="Muy Alta",'Mapa final'!$L$28="Leve"),CONCATENATE("R",'Mapa final'!$A$28),"")</f>
        <v/>
      </c>
      <c r="K8" s="267"/>
      <c r="L8" s="268" t="str">
        <f>IF(AND('Mapa final'!$H$34="Muy Alta",'Mapa final'!$L$34="Leve"),CONCATENATE("R",'Mapa final'!$A$34),"")</f>
        <v/>
      </c>
      <c r="M8" s="268"/>
      <c r="N8" s="268" t="str">
        <f>IF(AND('Mapa final'!$H$40="Muy Alta",'Mapa final'!$L$40="Leve"),CONCATENATE("R",'Mapa final'!$A$40),"")</f>
        <v/>
      </c>
      <c r="O8" s="269"/>
      <c r="P8" s="266" t="str">
        <f>IF(AND('Mapa final'!$H$28="Muy Alta",'Mapa final'!$L$28="Menor"),CONCATENATE("R",'Mapa final'!$A$28),"")</f>
        <v/>
      </c>
      <c r="Q8" s="267"/>
      <c r="R8" s="268" t="str">
        <f>IF(AND('Mapa final'!$H$34="Muy Alta",'Mapa final'!$L$34="Menor"),CONCATENATE("R",'Mapa final'!$A$34),"")</f>
        <v/>
      </c>
      <c r="S8" s="268"/>
      <c r="T8" s="268" t="str">
        <f>IF(AND('Mapa final'!$H$40="Muy Alta",'Mapa final'!$L$40="Menor"),CONCATENATE("R",'Mapa final'!$A$40),"")</f>
        <v/>
      </c>
      <c r="U8" s="269"/>
      <c r="V8" s="266" t="str">
        <f>IF(AND('Mapa final'!$H$28="Muy Alta",'Mapa final'!$L$28="Moderado"),CONCATENATE("R",'Mapa final'!$A$28),"")</f>
        <v/>
      </c>
      <c r="W8" s="267"/>
      <c r="X8" s="268" t="str">
        <f>IF(AND('Mapa final'!$H$34="Muy Alta",'Mapa final'!$L$34="Moderado"),CONCATENATE("R",'Mapa final'!$A$34),"")</f>
        <v/>
      </c>
      <c r="Y8" s="268"/>
      <c r="Z8" s="268" t="str">
        <f>IF(AND('Mapa final'!$H$40="Muy Alta",'Mapa final'!$L$40="Moderado"),CONCATENATE("R",'Mapa final'!$A$40),"")</f>
        <v/>
      </c>
      <c r="AA8" s="269"/>
      <c r="AB8" s="266" t="str">
        <f>IF(AND('Mapa final'!$H$28="Muy Alta",'Mapa final'!$L$28="Mayor"),CONCATENATE("R",'Mapa final'!$A$28),"")</f>
        <v/>
      </c>
      <c r="AC8" s="267"/>
      <c r="AD8" s="268" t="str">
        <f>IF(AND('Mapa final'!$H$34="Muy Alta",'Mapa final'!$L$34="Mayor"),CONCATENATE("R",'Mapa final'!$A$34),"")</f>
        <v/>
      </c>
      <c r="AE8" s="268"/>
      <c r="AF8" s="268" t="str">
        <f>IF(AND('Mapa final'!$H$40="Muy Alta",'Mapa final'!$L$40="Mayor"),CONCATENATE("R",'Mapa final'!$A$40),"")</f>
        <v/>
      </c>
      <c r="AG8" s="269"/>
      <c r="AH8" s="257" t="str">
        <f>IF(AND('Mapa final'!$H$28="Muy Alta",'Mapa final'!$L$28="Catastrófico"),CONCATENATE("R",'Mapa final'!$A$28),"")</f>
        <v/>
      </c>
      <c r="AI8" s="258"/>
      <c r="AJ8" s="258" t="str">
        <f>IF(AND('Mapa final'!$H$34="Muy Alta",'Mapa final'!$L$34="Catastrófico"),CONCATENATE("R",'Mapa final'!$A$34),"")</f>
        <v/>
      </c>
      <c r="AK8" s="258"/>
      <c r="AL8" s="258" t="str">
        <f>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IF(AND('Mapa final'!$H$46="Muy Alta",'Mapa final'!$L$46="Leve"),CONCATENATE("R",'Mapa final'!$A$46),"")</f>
        <v/>
      </c>
      <c r="K10" s="267"/>
      <c r="L10" s="268" t="str">
        <f>IF(AND('Mapa final'!$H$52="Muy Alta",'Mapa final'!$L$52="Leve"),CONCATENATE("R",'Mapa final'!$A$52),"")</f>
        <v/>
      </c>
      <c r="M10" s="268"/>
      <c r="N10" s="268" t="str">
        <f>IF(AND('Mapa final'!$H$58="Muy Alta",'Mapa final'!$L$58="Leve"),CONCATENATE("R",'Mapa final'!$A$58),"")</f>
        <v/>
      </c>
      <c r="O10" s="269"/>
      <c r="P10" s="266" t="str">
        <f>IF(AND('Mapa final'!$H$46="Muy Alta",'Mapa final'!$L$46="Menor"),CONCATENATE("R",'Mapa final'!$A$46),"")</f>
        <v/>
      </c>
      <c r="Q10" s="267"/>
      <c r="R10" s="268" t="str">
        <f>IF(AND('Mapa final'!$H$52="Muy Alta",'Mapa final'!$L$52="Menor"),CONCATENATE("R",'Mapa final'!$A$52),"")</f>
        <v/>
      </c>
      <c r="S10" s="268"/>
      <c r="T10" s="268" t="str">
        <f>IF(AND('Mapa final'!$H$58="Muy Alta",'Mapa final'!$L$58="Menor"),CONCATENATE("R",'Mapa final'!$A$58),"")</f>
        <v/>
      </c>
      <c r="U10" s="269"/>
      <c r="V10" s="266" t="str">
        <f>IF(AND('Mapa final'!$H$46="Muy Alta",'Mapa final'!$L$46="Moderado"),CONCATENATE("R",'Mapa final'!$A$46),"")</f>
        <v/>
      </c>
      <c r="W10" s="267"/>
      <c r="X10" s="268" t="str">
        <f>IF(AND('Mapa final'!$H$52="Muy Alta",'Mapa final'!$L$52="Moderado"),CONCATENATE("R",'Mapa final'!$A$52),"")</f>
        <v/>
      </c>
      <c r="Y10" s="268"/>
      <c r="Z10" s="268" t="str">
        <f>IF(AND('Mapa final'!$H$58="Muy Alta",'Mapa final'!$L$58="Moderado"),CONCATENATE("R",'Mapa final'!$A$58),"")</f>
        <v/>
      </c>
      <c r="AA10" s="269"/>
      <c r="AB10" s="266" t="str">
        <f>IF(AND('Mapa final'!$H$46="Muy Alta",'Mapa final'!$L$46="Mayor"),CONCATENATE("R",'Mapa final'!$A$46),"")</f>
        <v/>
      </c>
      <c r="AC10" s="267"/>
      <c r="AD10" s="268" t="str">
        <f>IF(AND('Mapa final'!$H$52="Muy Alta",'Mapa final'!$L$52="Mayor"),CONCATENATE("R",'Mapa final'!$A$52),"")</f>
        <v/>
      </c>
      <c r="AE10" s="268"/>
      <c r="AF10" s="268" t="str">
        <f>IF(AND('Mapa final'!$H$58="Muy Alta",'Mapa final'!$L$58="Mayor"),CONCATENATE("R",'Mapa final'!$A$58),"")</f>
        <v/>
      </c>
      <c r="AG10" s="269"/>
      <c r="AH10" s="257" t="str">
        <f>IF(AND('Mapa final'!$H$46="Muy Alta",'Mapa final'!$L$46="Catastrófico"),CONCATENATE("R",'Mapa final'!$A$46),"")</f>
        <v/>
      </c>
      <c r="AI10" s="258"/>
      <c r="AJ10" s="258" t="str">
        <f>IF(AND('Mapa final'!$H$52="Muy Alta",'Mapa final'!$L$52="Catastrófico"),CONCATENATE("R",'Mapa final'!$A$52),"")</f>
        <v/>
      </c>
      <c r="AK10" s="258"/>
      <c r="AL10" s="258" t="str">
        <f>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IF(AND('Mapa final'!$H$10="Alta",'Mapa final'!$L$10="Leve"),CONCATENATE("R",'Mapa final'!$A$10),"")</f>
        <v/>
      </c>
      <c r="K14" s="255"/>
      <c r="L14" s="255" t="str">
        <f>IF(AND('Mapa final'!$H$16="Alta",'Mapa final'!$L$16="Leve"),CONCATENATE("R",'Mapa final'!$A$16),"")</f>
        <v/>
      </c>
      <c r="M14" s="255"/>
      <c r="N14" s="255" t="str">
        <f>IF(AND('Mapa final'!$H$22="Alta",'Mapa final'!$L$22="Leve"),CONCATENATE("R",'Mapa final'!$A$22),"")</f>
        <v/>
      </c>
      <c r="O14" s="256"/>
      <c r="P14" s="254" t="str">
        <f>IF(AND('Mapa final'!$H$10="Alta",'Mapa final'!$L$10="Menor"),CONCATENATE("R",'Mapa final'!$A$10),"")</f>
        <v/>
      </c>
      <c r="Q14" s="255"/>
      <c r="R14" s="255" t="str">
        <f>IF(AND('Mapa final'!$H$16="Alta",'Mapa final'!$L$16="Menor"),CONCATENATE("R",'Mapa final'!$A$16),"")</f>
        <v/>
      </c>
      <c r="S14" s="255"/>
      <c r="T14" s="255" t="str">
        <f>IF(AND('Mapa final'!$H$22="Alta",'Mapa final'!$L$22="Menor"),CONCATENATE("R",'Mapa final'!$A$22),"")</f>
        <v/>
      </c>
      <c r="U14" s="256"/>
      <c r="V14" s="273" t="str">
        <f>IF(AND('Mapa final'!$H$10="Alta",'Mapa final'!$L$10="Moderado"),CONCATENATE("R",'Mapa final'!$A$10),"")</f>
        <v/>
      </c>
      <c r="W14" s="274"/>
      <c r="X14" s="274" t="str">
        <f>IF(AND('Mapa final'!$H$16="Alta",'Mapa final'!$L$16="Moderado"),CONCATENATE("R",'Mapa final'!$A$16),"")</f>
        <v/>
      </c>
      <c r="Y14" s="274"/>
      <c r="Z14" s="274" t="str">
        <f>IF(AND('Mapa final'!$H$22="Alta",'Mapa final'!$L$22="Moderado"),CONCATENATE("R",'Mapa final'!$A$22),"")</f>
        <v/>
      </c>
      <c r="AA14" s="275"/>
      <c r="AB14" s="273" t="str">
        <f>IF(AND('Mapa final'!$H$10="Alta",'Mapa final'!$L$10="Mayor"),CONCATENATE("R",'Mapa final'!$A$10),"")</f>
        <v/>
      </c>
      <c r="AC14" s="274"/>
      <c r="AD14" s="274" t="str">
        <f>IF(AND('Mapa final'!$H$16="Alta",'Mapa final'!$L$16="Mayor"),CONCATENATE("R",'Mapa final'!$A$16),"")</f>
        <v/>
      </c>
      <c r="AE14" s="274"/>
      <c r="AF14" s="274" t="str">
        <f>IF(AND('Mapa final'!$H$22="Alta",'Mapa final'!$L$22="Mayor"),CONCATENATE("R",'Mapa final'!$A$22),"")</f>
        <v/>
      </c>
      <c r="AG14" s="275"/>
      <c r="AH14" s="263" t="str">
        <f>IF(AND('Mapa final'!$H$10="Alta",'Mapa final'!$L$10="Catastrófico"),CONCATENATE("R",'Mapa final'!$A$10),"")</f>
        <v/>
      </c>
      <c r="AI14" s="264"/>
      <c r="AJ14" s="264" t="str">
        <f>IF(AND('Mapa final'!$H$16="Alta",'Mapa final'!$L$16="Catastrófico"),CONCATENATE("R",'Mapa final'!$A$16),"")</f>
        <v/>
      </c>
      <c r="AK14" s="264"/>
      <c r="AL14" s="264" t="str">
        <f>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IF(AND('Mapa final'!$H$28="Alta",'Mapa final'!$L$28="Leve"),CONCATENATE("R",'Mapa final'!$A$28),"")</f>
        <v/>
      </c>
      <c r="K16" s="249"/>
      <c r="L16" s="249" t="str">
        <f>IF(AND('Mapa final'!$H$34="Alta",'Mapa final'!$L$34="Leve"),CONCATENATE("R",'Mapa final'!$A$34),"")</f>
        <v/>
      </c>
      <c r="M16" s="249"/>
      <c r="N16" s="249" t="str">
        <f>IF(AND('Mapa final'!$H$40="Alta",'Mapa final'!$L$40="Leve"),CONCATENATE("R",'Mapa final'!$A$40),"")</f>
        <v/>
      </c>
      <c r="O16" s="250"/>
      <c r="P16" s="248" t="str">
        <f>IF(AND('Mapa final'!$H$28="Alta",'Mapa final'!$L$28="Menor"),CONCATENATE("R",'Mapa final'!$A$28),"")</f>
        <v/>
      </c>
      <c r="Q16" s="249"/>
      <c r="R16" s="249" t="str">
        <f>IF(AND('Mapa final'!$H$34="Alta",'Mapa final'!$L$34="Menor"),CONCATENATE("R",'Mapa final'!$A$34),"")</f>
        <v/>
      </c>
      <c r="S16" s="249"/>
      <c r="T16" s="249" t="str">
        <f>IF(AND('Mapa final'!$H$40="Alta",'Mapa final'!$L$40="Menor"),CONCATENATE("R",'Mapa final'!$A$40),"")</f>
        <v/>
      </c>
      <c r="U16" s="250"/>
      <c r="V16" s="266" t="str">
        <f>IF(AND('Mapa final'!$H$28="Alta",'Mapa final'!$L$28="Moderado"),CONCATENATE("R",'Mapa final'!$A$28),"")</f>
        <v/>
      </c>
      <c r="W16" s="267"/>
      <c r="X16" s="268" t="str">
        <f>IF(AND('Mapa final'!$H$34="Alta",'Mapa final'!$L$34="Moderado"),CONCATENATE("R",'Mapa final'!$A$34),"")</f>
        <v/>
      </c>
      <c r="Y16" s="268"/>
      <c r="Z16" s="268" t="str">
        <f>IF(AND('Mapa final'!$H$40="Alta",'Mapa final'!$L$40="Moderado"),CONCATENATE("R",'Mapa final'!$A$40),"")</f>
        <v/>
      </c>
      <c r="AA16" s="269"/>
      <c r="AB16" s="266" t="str">
        <f>IF(AND('Mapa final'!$H$28="Alta",'Mapa final'!$L$28="Mayor"),CONCATENATE("R",'Mapa final'!$A$28),"")</f>
        <v/>
      </c>
      <c r="AC16" s="267"/>
      <c r="AD16" s="268" t="str">
        <f>IF(AND('Mapa final'!$H$34="Alta",'Mapa final'!$L$34="Mayor"),CONCATENATE("R",'Mapa final'!$A$34),"")</f>
        <v/>
      </c>
      <c r="AE16" s="268"/>
      <c r="AF16" s="268" t="str">
        <f>IF(AND('Mapa final'!$H$40="Alta",'Mapa final'!$L$40="Mayor"),CONCATENATE("R",'Mapa final'!$A$40),"")</f>
        <v/>
      </c>
      <c r="AG16" s="269"/>
      <c r="AH16" s="257" t="str">
        <f>IF(AND('Mapa final'!$H$28="Alta",'Mapa final'!$L$28="Catastrófico"),CONCATENATE("R",'Mapa final'!$A$28),"")</f>
        <v/>
      </c>
      <c r="AI16" s="258"/>
      <c r="AJ16" s="258" t="str">
        <f>IF(AND('Mapa final'!$H$34="Alta",'Mapa final'!$L$34="Catastrófico"),CONCATENATE("R",'Mapa final'!$A$34),"")</f>
        <v/>
      </c>
      <c r="AK16" s="258"/>
      <c r="AL16" s="258" t="str">
        <f>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IF(AND('Mapa final'!$H$46="Alta",'Mapa final'!$L$46="Leve"),CONCATENATE("R",'Mapa final'!$A$46),"")</f>
        <v/>
      </c>
      <c r="K18" s="249"/>
      <c r="L18" s="249" t="str">
        <f>IF(AND('Mapa final'!$H$52="Alta",'Mapa final'!$L$52="Leve"),CONCATENATE("R",'Mapa final'!$A$52),"")</f>
        <v/>
      </c>
      <c r="M18" s="249"/>
      <c r="N18" s="249" t="str">
        <f>IF(AND('Mapa final'!$H$58="Alta",'Mapa final'!$L$58="Leve"),CONCATENATE("R",'Mapa final'!$A$58),"")</f>
        <v/>
      </c>
      <c r="O18" s="250"/>
      <c r="P18" s="248" t="str">
        <f>IF(AND('Mapa final'!$H$46="Alta",'Mapa final'!$L$46="Menor"),CONCATENATE("R",'Mapa final'!$A$46),"")</f>
        <v/>
      </c>
      <c r="Q18" s="249"/>
      <c r="R18" s="249" t="str">
        <f>IF(AND('Mapa final'!$H$52="Alta",'Mapa final'!$L$52="Menor"),CONCATENATE("R",'Mapa final'!$A$52),"")</f>
        <v/>
      </c>
      <c r="S18" s="249"/>
      <c r="T18" s="249" t="str">
        <f>IF(AND('Mapa final'!$H$58="Alta",'Mapa final'!$L$58="Menor"),CONCATENATE("R",'Mapa final'!$A$58),"")</f>
        <v/>
      </c>
      <c r="U18" s="250"/>
      <c r="V18" s="266" t="str">
        <f>IF(AND('Mapa final'!$H$46="Alta",'Mapa final'!$L$46="Moderado"),CONCATENATE("R",'Mapa final'!$A$46),"")</f>
        <v/>
      </c>
      <c r="W18" s="267"/>
      <c r="X18" s="268" t="str">
        <f>IF(AND('Mapa final'!$H$52="Alta",'Mapa final'!$L$52="Moderado"),CONCATENATE("R",'Mapa final'!$A$52),"")</f>
        <v/>
      </c>
      <c r="Y18" s="268"/>
      <c r="Z18" s="268" t="str">
        <f>IF(AND('Mapa final'!$H$58="Alta",'Mapa final'!$L$58="Moderado"),CONCATENATE("R",'Mapa final'!$A$58),"")</f>
        <v/>
      </c>
      <c r="AA18" s="269"/>
      <c r="AB18" s="266" t="str">
        <f>IF(AND('Mapa final'!$H$46="Alta",'Mapa final'!$L$46="Mayor"),CONCATENATE("R",'Mapa final'!$A$46),"")</f>
        <v/>
      </c>
      <c r="AC18" s="267"/>
      <c r="AD18" s="268" t="str">
        <f>IF(AND('Mapa final'!$H$52="Alta",'Mapa final'!$L$52="Mayor"),CONCATENATE("R",'Mapa final'!$A$52),"")</f>
        <v/>
      </c>
      <c r="AE18" s="268"/>
      <c r="AF18" s="268" t="str">
        <f>IF(AND('Mapa final'!$H$58="Alta",'Mapa final'!$L$58="Mayor"),CONCATENATE("R",'Mapa final'!$A$58),"")</f>
        <v/>
      </c>
      <c r="AG18" s="269"/>
      <c r="AH18" s="257" t="str">
        <f>IF(AND('Mapa final'!$H$46="Alta",'Mapa final'!$L$46="Catastrófico"),CONCATENATE("R",'Mapa final'!$A$46),"")</f>
        <v/>
      </c>
      <c r="AI18" s="258"/>
      <c r="AJ18" s="258" t="str">
        <f>IF(AND('Mapa final'!$H$52="Alta",'Mapa final'!$L$52="Catastrófico"),CONCATENATE("R",'Mapa final'!$A$52),"")</f>
        <v/>
      </c>
      <c r="AK18" s="258"/>
      <c r="AL18" s="258" t="str">
        <f>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IF(AND('Mapa final'!$H$10="Media",'Mapa final'!$L$10="Leve"),CONCATENATE("R",'Mapa final'!$A$10),"")</f>
        <v/>
      </c>
      <c r="K22" s="255"/>
      <c r="L22" s="255" t="str">
        <f>IF(AND('Mapa final'!$H$16="Media",'Mapa final'!$L$16="Leve"),CONCATENATE("R",'Mapa final'!$A$16),"")</f>
        <v/>
      </c>
      <c r="M22" s="255"/>
      <c r="N22" s="255" t="str">
        <f>IF(AND('Mapa final'!$H$22="Media",'Mapa final'!$L$22="Leve"),CONCATENATE("R",'Mapa final'!$A$22),"")</f>
        <v/>
      </c>
      <c r="O22" s="256"/>
      <c r="P22" s="254" t="str">
        <f>IF(AND('Mapa final'!$H$10="Media",'Mapa final'!$L$10="Menor"),CONCATENATE("R",'Mapa final'!$A$10),"")</f>
        <v/>
      </c>
      <c r="Q22" s="255"/>
      <c r="R22" s="255" t="str">
        <f>IF(AND('Mapa final'!$H$16="Media",'Mapa final'!$L$16="Menor"),CONCATENATE("R",'Mapa final'!$A$16),"")</f>
        <v/>
      </c>
      <c r="S22" s="255"/>
      <c r="T22" s="255" t="str">
        <f>IF(AND('Mapa final'!$H$22="Media",'Mapa final'!$L$22="Menor"),CONCATENATE("R",'Mapa final'!$A$22),"")</f>
        <v/>
      </c>
      <c r="U22" s="256"/>
      <c r="V22" s="254" t="str">
        <f>IF(AND('Mapa final'!$H$10="Media",'Mapa final'!$L$10="Moderado"),CONCATENATE("R",'Mapa final'!$A$10),"")</f>
        <v/>
      </c>
      <c r="W22" s="255"/>
      <c r="X22" s="255" t="str">
        <f>IF(AND('Mapa final'!$H$16="Media",'Mapa final'!$L$16="Moderado"),CONCATENATE("R",'Mapa final'!$A$16),"")</f>
        <v/>
      </c>
      <c r="Y22" s="255"/>
      <c r="Z22" s="255" t="str">
        <f>IF(AND('Mapa final'!$H$22="Media",'Mapa final'!$L$22="Moderado"),CONCATENATE("R",'Mapa final'!$A$22),"")</f>
        <v/>
      </c>
      <c r="AA22" s="256"/>
      <c r="AB22" s="273" t="str">
        <f>IF(AND('Mapa final'!$H$10="Media",'Mapa final'!$L$10="Mayor"),CONCATENATE("R",'Mapa final'!$A$10),"")</f>
        <v/>
      </c>
      <c r="AC22" s="274"/>
      <c r="AD22" s="274" t="str">
        <f>IF(AND('Mapa final'!$H$16="Media",'Mapa final'!$L$16="Mayor"),CONCATENATE("R",'Mapa final'!$A$16),"")</f>
        <v/>
      </c>
      <c r="AE22" s="274"/>
      <c r="AF22" s="274" t="str">
        <f>IF(AND('Mapa final'!$H$22="Media",'Mapa final'!$L$22="Mayor"),CONCATENATE("R",'Mapa final'!$A$22),"")</f>
        <v/>
      </c>
      <c r="AG22" s="275"/>
      <c r="AH22" s="263" t="str">
        <f>IF(AND('Mapa final'!$H$10="Media",'Mapa final'!$L$10="Catastrófico"),CONCATENATE("R",'Mapa final'!$A$10),"")</f>
        <v/>
      </c>
      <c r="AI22" s="264"/>
      <c r="AJ22" s="264" t="str">
        <f>IF(AND('Mapa final'!$H$16="Media",'Mapa final'!$L$16="Catastrófico"),CONCATENATE("R",'Mapa final'!$A$16),"")</f>
        <v/>
      </c>
      <c r="AK22" s="264"/>
      <c r="AL22" s="264" t="str">
        <f>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IF(AND('Mapa final'!$H$28="Media",'Mapa final'!$L$28="Leve"),CONCATENATE("R",'Mapa final'!$A$28),"")</f>
        <v/>
      </c>
      <c r="K24" s="249"/>
      <c r="L24" s="249" t="str">
        <f>IF(AND('Mapa final'!$H$34="Media",'Mapa final'!$L$34="Leve"),CONCATENATE("R",'Mapa final'!$A$34),"")</f>
        <v/>
      </c>
      <c r="M24" s="249"/>
      <c r="N24" s="249" t="str">
        <f>IF(AND('Mapa final'!$H$40="Media",'Mapa final'!$L$40="Leve"),CONCATENATE("R",'Mapa final'!$A$40),"")</f>
        <v/>
      </c>
      <c r="O24" s="250"/>
      <c r="P24" s="248" t="str">
        <f>IF(AND('Mapa final'!$H$28="Media",'Mapa final'!$L$28="Menor"),CONCATENATE("R",'Mapa final'!$A$28),"")</f>
        <v/>
      </c>
      <c r="Q24" s="249"/>
      <c r="R24" s="249" t="str">
        <f>IF(AND('Mapa final'!$H$34="Media",'Mapa final'!$L$34="Menor"),CONCATENATE("R",'Mapa final'!$A$34),"")</f>
        <v/>
      </c>
      <c r="S24" s="249"/>
      <c r="T24" s="249" t="str">
        <f>IF(AND('Mapa final'!$H$40="Media",'Mapa final'!$L$40="Menor"),CONCATENATE("R",'Mapa final'!$A$40),"")</f>
        <v/>
      </c>
      <c r="U24" s="250"/>
      <c r="V24" s="248" t="str">
        <f>IF(AND('Mapa final'!$H$28="Media",'Mapa final'!$L$28="Moderado"),CONCATENATE("R",'Mapa final'!$A$28),"")</f>
        <v/>
      </c>
      <c r="W24" s="249"/>
      <c r="X24" s="249" t="str">
        <f>IF(AND('Mapa final'!$H$34="Media",'Mapa final'!$L$34="Moderado"),CONCATENATE("R",'Mapa final'!$A$34),"")</f>
        <v/>
      </c>
      <c r="Y24" s="249"/>
      <c r="Z24" s="249" t="str">
        <f>IF(AND('Mapa final'!$H$40="Media",'Mapa final'!$L$40="Moderado"),CONCATENATE("R",'Mapa final'!$A$40),"")</f>
        <v/>
      </c>
      <c r="AA24" s="250"/>
      <c r="AB24" s="266" t="str">
        <f>IF(AND('Mapa final'!$H$28="Media",'Mapa final'!$L$28="Mayor"),CONCATENATE("R",'Mapa final'!$A$28),"")</f>
        <v/>
      </c>
      <c r="AC24" s="267"/>
      <c r="AD24" s="268" t="str">
        <f>IF(AND('Mapa final'!$H$34="Media",'Mapa final'!$L$34="Mayor"),CONCATENATE("R",'Mapa final'!$A$34),"")</f>
        <v/>
      </c>
      <c r="AE24" s="268"/>
      <c r="AF24" s="268" t="str">
        <f>IF(AND('Mapa final'!$H$40="Media",'Mapa final'!$L$40="Mayor"),CONCATENATE("R",'Mapa final'!$A$40),"")</f>
        <v/>
      </c>
      <c r="AG24" s="269"/>
      <c r="AH24" s="257" t="str">
        <f>IF(AND('Mapa final'!$H$28="Media",'Mapa final'!$L$28="Catastrófico"),CONCATENATE("R",'Mapa final'!$A$28),"")</f>
        <v/>
      </c>
      <c r="AI24" s="258"/>
      <c r="AJ24" s="258" t="str">
        <f>IF(AND('Mapa final'!$H$34="Media",'Mapa final'!$L$34="Catastrófico"),CONCATENATE("R",'Mapa final'!$A$34),"")</f>
        <v/>
      </c>
      <c r="AK24" s="258"/>
      <c r="AL24" s="258" t="str">
        <f>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IF(AND('Mapa final'!$H$46="Media",'Mapa final'!$L$46="Leve"),CONCATENATE("R",'Mapa final'!$A$46),"")</f>
        <v/>
      </c>
      <c r="K26" s="249"/>
      <c r="L26" s="249" t="str">
        <f>IF(AND('Mapa final'!$H$52="Media",'Mapa final'!$L$52="Leve"),CONCATENATE("R",'Mapa final'!$A$52),"")</f>
        <v/>
      </c>
      <c r="M26" s="249"/>
      <c r="N26" s="249" t="str">
        <f>IF(AND('Mapa final'!$H$58="Media",'Mapa final'!$L$58="Leve"),CONCATENATE("R",'Mapa final'!$A$58),"")</f>
        <v/>
      </c>
      <c r="O26" s="250"/>
      <c r="P26" s="248" t="str">
        <f>IF(AND('Mapa final'!$H$46="Media",'Mapa final'!$L$46="Menor"),CONCATENATE("R",'Mapa final'!$A$46),"")</f>
        <v/>
      </c>
      <c r="Q26" s="249"/>
      <c r="R26" s="249" t="str">
        <f>IF(AND('Mapa final'!$H$52="Media",'Mapa final'!$L$52="Menor"),CONCATENATE("R",'Mapa final'!$A$52),"")</f>
        <v/>
      </c>
      <c r="S26" s="249"/>
      <c r="T26" s="249" t="str">
        <f>IF(AND('Mapa final'!$H$58="Media",'Mapa final'!$L$58="Menor"),CONCATENATE("R",'Mapa final'!$A$58),"")</f>
        <v/>
      </c>
      <c r="U26" s="250"/>
      <c r="V26" s="248" t="str">
        <f>IF(AND('Mapa final'!$H$46="Media",'Mapa final'!$L$46="Moderado"),CONCATENATE("R",'Mapa final'!$A$46),"")</f>
        <v/>
      </c>
      <c r="W26" s="249"/>
      <c r="X26" s="249" t="str">
        <f>IF(AND('Mapa final'!$H$52="Media",'Mapa final'!$L$52="Moderado"),CONCATENATE("R",'Mapa final'!$A$52),"")</f>
        <v/>
      </c>
      <c r="Y26" s="249"/>
      <c r="Z26" s="249" t="str">
        <f>IF(AND('Mapa final'!$H$58="Media",'Mapa final'!$L$58="Moderado"),CONCATENATE("R",'Mapa final'!$A$58),"")</f>
        <v/>
      </c>
      <c r="AA26" s="250"/>
      <c r="AB26" s="266" t="str">
        <f>IF(AND('Mapa final'!$H$46="Media",'Mapa final'!$L$46="Mayor"),CONCATENATE("R",'Mapa final'!$A$46),"")</f>
        <v/>
      </c>
      <c r="AC26" s="267"/>
      <c r="AD26" s="268" t="str">
        <f>IF(AND('Mapa final'!$H$52="Media",'Mapa final'!$L$52="Mayor"),CONCATENATE("R",'Mapa final'!$A$52),"")</f>
        <v/>
      </c>
      <c r="AE26" s="268"/>
      <c r="AF26" s="268" t="str">
        <f>IF(AND('Mapa final'!$H$58="Media",'Mapa final'!$L$58="Mayor"),CONCATENATE("R",'Mapa final'!$A$58),"")</f>
        <v/>
      </c>
      <c r="AG26" s="269"/>
      <c r="AH26" s="257" t="str">
        <f>IF(AND('Mapa final'!$H$46="Media",'Mapa final'!$L$46="Catastrófico"),CONCATENATE("R",'Mapa final'!$A$46),"")</f>
        <v/>
      </c>
      <c r="AI26" s="258"/>
      <c r="AJ26" s="258" t="str">
        <f>IF(AND('Mapa final'!$H$52="Media",'Mapa final'!$L$52="Catastrófico"),CONCATENATE("R",'Mapa final'!$A$52),"")</f>
        <v/>
      </c>
      <c r="AK26" s="258"/>
      <c r="AL26" s="258" t="str">
        <f>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IF(AND('Mapa final'!$H$10="Baja",'Mapa final'!$L$10="Leve"),CONCATENATE("R",'Mapa final'!$A$10),"")</f>
        <v/>
      </c>
      <c r="K30" s="246"/>
      <c r="L30" s="246" t="str">
        <f>IF(AND('Mapa final'!$H$16="Baja",'Mapa final'!$L$16="Leve"),CONCATENATE("R",'Mapa final'!$A$16),"")</f>
        <v/>
      </c>
      <c r="M30" s="246"/>
      <c r="N30" s="246" t="str">
        <f>IF(AND('Mapa final'!$H$22="Baja",'Mapa final'!$L$22="Leve"),CONCATENATE("R",'Mapa final'!$A$22),"")</f>
        <v/>
      </c>
      <c r="O30" s="247"/>
      <c r="P30" s="255" t="str">
        <f>IF(AND('Mapa final'!$H$10="Baja",'Mapa final'!$L$10="Menor"),CONCATENATE("R",'Mapa final'!$A$10),"")</f>
        <v/>
      </c>
      <c r="Q30" s="255"/>
      <c r="R30" s="255" t="str">
        <f>IF(AND('Mapa final'!$H$16="Baja",'Mapa final'!$L$16="Menor"),CONCATENATE("R",'Mapa final'!$A$16),"")</f>
        <v/>
      </c>
      <c r="S30" s="255"/>
      <c r="T30" s="255" t="str">
        <f>IF(AND('Mapa final'!$H$22="Baja",'Mapa final'!$L$22="Menor"),CONCATENATE("R",'Mapa final'!$A$22),"")</f>
        <v/>
      </c>
      <c r="U30" s="256"/>
      <c r="V30" s="254" t="str">
        <f>IF(AND('Mapa final'!$H$10="Baja",'Mapa final'!$L$10="Moderado"),CONCATENATE("R",'Mapa final'!$A$10),"")</f>
        <v/>
      </c>
      <c r="W30" s="255"/>
      <c r="X30" s="255" t="str">
        <f>IF(AND('Mapa final'!$H$16="Baja",'Mapa final'!$L$16="Moderado"),CONCATENATE("R",'Mapa final'!$A$16),"")</f>
        <v/>
      </c>
      <c r="Y30" s="255"/>
      <c r="Z30" s="255" t="str">
        <f>IF(AND('Mapa final'!$H$22="Baja",'Mapa final'!$L$22="Moderado"),CONCATENATE("R",'Mapa final'!$A$22),"")</f>
        <v/>
      </c>
      <c r="AA30" s="256"/>
      <c r="AB30" s="273" t="str">
        <f>IF(AND('Mapa final'!$H$10="Baja",'Mapa final'!$L$10="Mayor"),CONCATENATE("R",'Mapa final'!$A$10),"")</f>
        <v/>
      </c>
      <c r="AC30" s="274"/>
      <c r="AD30" s="274" t="str">
        <f>IF(AND('Mapa final'!$H$16="Baja",'Mapa final'!$L$16="Mayor"),CONCATENATE("R",'Mapa final'!$A$16),"")</f>
        <v/>
      </c>
      <c r="AE30" s="274"/>
      <c r="AF30" s="274" t="str">
        <f>IF(AND('Mapa final'!$H$22="Baja",'Mapa final'!$L$22="Mayor"),CONCATENATE("R",'Mapa final'!$A$22),"")</f>
        <v/>
      </c>
      <c r="AG30" s="275"/>
      <c r="AH30" s="263" t="str">
        <f>IF(AND('Mapa final'!$H$10="Baja",'Mapa final'!$L$10="Catastrófico"),CONCATENATE("R",'Mapa final'!$A$10),"")</f>
        <v/>
      </c>
      <c r="AI30" s="264"/>
      <c r="AJ30" s="264" t="str">
        <f>IF(AND('Mapa final'!$H$16="Baja",'Mapa final'!$L$16="Catastrófico"),CONCATENATE("R",'Mapa final'!$A$16),"")</f>
        <v/>
      </c>
      <c r="AK30" s="264"/>
      <c r="AL30" s="264" t="str">
        <f>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IF(AND('Mapa final'!$H$28="Baja",'Mapa final'!$L$28="Leve"),CONCATENATE("R",'Mapa final'!$A$28),"")</f>
        <v/>
      </c>
      <c r="K32" s="240"/>
      <c r="L32" s="240" t="str">
        <f>IF(AND('Mapa final'!$H$34="Baja",'Mapa final'!$L$34="Leve"),CONCATENATE("R",'Mapa final'!$A$34),"")</f>
        <v/>
      </c>
      <c r="M32" s="240"/>
      <c r="N32" s="240" t="str">
        <f>IF(AND('Mapa final'!$H$40="Baja",'Mapa final'!$L$40="Leve"),CONCATENATE("R",'Mapa final'!$A$40),"")</f>
        <v/>
      </c>
      <c r="O32" s="241"/>
      <c r="P32" s="249" t="str">
        <f>IF(AND('Mapa final'!$H$28="Baja",'Mapa final'!$L$28="Menor"),CONCATENATE("R",'Mapa final'!$A$28),"")</f>
        <v/>
      </c>
      <c r="Q32" s="249"/>
      <c r="R32" s="249" t="str">
        <f>IF(AND('Mapa final'!$H$34="Baja",'Mapa final'!$L$34="Menor"),CONCATENATE("R",'Mapa final'!$A$34),"")</f>
        <v/>
      </c>
      <c r="S32" s="249"/>
      <c r="T32" s="249" t="str">
        <f>IF(AND('Mapa final'!$H$40="Baja",'Mapa final'!$L$40="Menor"),CONCATENATE("R",'Mapa final'!$A$40),"")</f>
        <v/>
      </c>
      <c r="U32" s="250"/>
      <c r="V32" s="248" t="str">
        <f>IF(AND('Mapa final'!$H$28="Baja",'Mapa final'!$L$28="Moderado"),CONCATENATE("R",'Mapa final'!$A$28),"")</f>
        <v/>
      </c>
      <c r="W32" s="249"/>
      <c r="X32" s="249" t="str">
        <f>IF(AND('Mapa final'!$H$34="Baja",'Mapa final'!$L$34="Moderado"),CONCATENATE("R",'Mapa final'!$A$34),"")</f>
        <v/>
      </c>
      <c r="Y32" s="249"/>
      <c r="Z32" s="249" t="str">
        <f>IF(AND('Mapa final'!$H$40="Baja",'Mapa final'!$L$40="Moderado"),CONCATENATE("R",'Mapa final'!$A$40),"")</f>
        <v/>
      </c>
      <c r="AA32" s="250"/>
      <c r="AB32" s="266" t="str">
        <f>IF(AND('Mapa final'!$H$28="Baja",'Mapa final'!$L$28="Mayor"),CONCATENATE("R",'Mapa final'!$A$28),"")</f>
        <v/>
      </c>
      <c r="AC32" s="267"/>
      <c r="AD32" s="268" t="str">
        <f>IF(AND('Mapa final'!$H$34="Baja",'Mapa final'!$L$34="Mayor"),CONCATENATE("R",'Mapa final'!$A$34),"")</f>
        <v/>
      </c>
      <c r="AE32" s="268"/>
      <c r="AF32" s="268" t="str">
        <f>IF(AND('Mapa final'!$H$40="Baja",'Mapa final'!$L$40="Mayor"),CONCATENATE("R",'Mapa final'!$A$40),"")</f>
        <v/>
      </c>
      <c r="AG32" s="269"/>
      <c r="AH32" s="257" t="str">
        <f>IF(AND('Mapa final'!$H$28="Baja",'Mapa final'!$L$28="Catastrófico"),CONCATENATE("R",'Mapa final'!$A$28),"")</f>
        <v/>
      </c>
      <c r="AI32" s="258"/>
      <c r="AJ32" s="258" t="str">
        <f>IF(AND('Mapa final'!$H$34="Baja",'Mapa final'!$L$34="Catastrófico"),CONCATENATE("R",'Mapa final'!$A$34),"")</f>
        <v/>
      </c>
      <c r="AK32" s="258"/>
      <c r="AL32" s="258" t="str">
        <f>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IF(AND('Mapa final'!$H$46="Baja",'Mapa final'!$L$46="Leve"),CONCATENATE("R",'Mapa final'!$A$46),"")</f>
        <v/>
      </c>
      <c r="K34" s="240"/>
      <c r="L34" s="240" t="str">
        <f>IF(AND('Mapa final'!$H$52="Baja",'Mapa final'!$L$52="Leve"),CONCATENATE("R",'Mapa final'!$A$52),"")</f>
        <v/>
      </c>
      <c r="M34" s="240"/>
      <c r="N34" s="240" t="str">
        <f>IF(AND('Mapa final'!$H$58="Baja",'Mapa final'!$L$58="Leve"),CONCATENATE("R",'Mapa final'!$A$58),"")</f>
        <v/>
      </c>
      <c r="O34" s="241"/>
      <c r="P34" s="249" t="str">
        <f>IF(AND('Mapa final'!$H$46="Baja",'Mapa final'!$L$46="Menor"),CONCATENATE("R",'Mapa final'!$A$46),"")</f>
        <v/>
      </c>
      <c r="Q34" s="249"/>
      <c r="R34" s="249" t="str">
        <f>IF(AND('Mapa final'!$H$52="Baja",'Mapa final'!$L$52="Menor"),CONCATENATE("R",'Mapa final'!$A$52),"")</f>
        <v/>
      </c>
      <c r="S34" s="249"/>
      <c r="T34" s="249" t="str">
        <f>IF(AND('Mapa final'!$H$58="Baja",'Mapa final'!$L$58="Menor"),CONCATENATE("R",'Mapa final'!$A$58),"")</f>
        <v/>
      </c>
      <c r="U34" s="250"/>
      <c r="V34" s="248" t="str">
        <f>IF(AND('Mapa final'!$H$46="Baja",'Mapa final'!$L$46="Moderado"),CONCATENATE("R",'Mapa final'!$A$46),"")</f>
        <v/>
      </c>
      <c r="W34" s="249"/>
      <c r="X34" s="249" t="str">
        <f>IF(AND('Mapa final'!$H$52="Baja",'Mapa final'!$L$52="Moderado"),CONCATENATE("R",'Mapa final'!$A$52),"")</f>
        <v/>
      </c>
      <c r="Y34" s="249"/>
      <c r="Z34" s="249" t="str">
        <f>IF(AND('Mapa final'!$H$58="Baja",'Mapa final'!$L$58="Moderado"),CONCATENATE("R",'Mapa final'!$A$58),"")</f>
        <v/>
      </c>
      <c r="AA34" s="250"/>
      <c r="AB34" s="266" t="str">
        <f>IF(AND('Mapa final'!$H$46="Baja",'Mapa final'!$L$46="Mayor"),CONCATENATE("R",'Mapa final'!$A$46),"")</f>
        <v/>
      </c>
      <c r="AC34" s="267"/>
      <c r="AD34" s="268" t="str">
        <f>IF(AND('Mapa final'!$H$52="Baja",'Mapa final'!$L$52="Mayor"),CONCATENATE("R",'Mapa final'!$A$52),"")</f>
        <v/>
      </c>
      <c r="AE34" s="268"/>
      <c r="AF34" s="268" t="str">
        <f>IF(AND('Mapa final'!$H$58="Baja",'Mapa final'!$L$58="Mayor"),CONCATENATE("R",'Mapa final'!$A$58),"")</f>
        <v/>
      </c>
      <c r="AG34" s="269"/>
      <c r="AH34" s="257" t="str">
        <f>IF(AND('Mapa final'!$H$46="Baja",'Mapa final'!$L$46="Catastrófico"),CONCATENATE("R",'Mapa final'!$A$46),"")</f>
        <v/>
      </c>
      <c r="AI34" s="258"/>
      <c r="AJ34" s="258" t="str">
        <f>IF(AND('Mapa final'!$H$52="Baja",'Mapa final'!$L$52="Catastrófico"),CONCATENATE("R",'Mapa final'!$A$52),"")</f>
        <v/>
      </c>
      <c r="AK34" s="258"/>
      <c r="AL34" s="258" t="str">
        <f>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IF(AND('Mapa final'!$H$10="Muy Baja",'Mapa final'!$L$10="Leve"),CONCATENATE("R",'Mapa final'!$A$10),"")</f>
        <v>R1</v>
      </c>
      <c r="K38" s="246"/>
      <c r="L38" s="246" t="str">
        <f>IF(AND('Mapa final'!$H$16="Muy Baja",'Mapa final'!$L$16="Leve"),CONCATENATE("R",'Mapa final'!$A$16),"")</f>
        <v/>
      </c>
      <c r="M38" s="246"/>
      <c r="N38" s="246" t="str">
        <f>IF(AND('Mapa final'!$H$22="Muy Baja",'Mapa final'!$L$22="Leve"),CONCATENATE("R",'Mapa final'!$A$22),"")</f>
        <v/>
      </c>
      <c r="O38" s="247"/>
      <c r="P38" s="245" t="str">
        <f>IF(AND('Mapa final'!$H$10="Muy Baja",'Mapa final'!$L$10="Menor"),CONCATENATE("R",'Mapa final'!$A$10),"")</f>
        <v/>
      </c>
      <c r="Q38" s="246"/>
      <c r="R38" s="246" t="str">
        <f>IF(AND('Mapa final'!$H$16="Muy Baja",'Mapa final'!$L$16="Menor"),CONCATENATE("R",'Mapa final'!$A$16),"")</f>
        <v/>
      </c>
      <c r="S38" s="246"/>
      <c r="T38" s="246" t="str">
        <f>IF(AND('Mapa final'!$H$22="Muy Baja",'Mapa final'!$L$22="Menor"),CONCATENATE("R",'Mapa final'!$A$22),"")</f>
        <v/>
      </c>
      <c r="U38" s="247"/>
      <c r="V38" s="254" t="str">
        <f>IF(AND('Mapa final'!$H$10="Muy Baja",'Mapa final'!$L$10="Moderado"),CONCATENATE("R",'Mapa final'!$A$10),"")</f>
        <v/>
      </c>
      <c r="W38" s="255"/>
      <c r="X38" s="255" t="str">
        <f>IF(AND('Mapa final'!$H$16="Muy Baja",'Mapa final'!$L$16="Moderado"),CONCATENATE("R",'Mapa final'!$A$16),"")</f>
        <v/>
      </c>
      <c r="Y38" s="255"/>
      <c r="Z38" s="255" t="str">
        <f>IF(AND('Mapa final'!$H$22="Muy Baja",'Mapa final'!$L$22="Moderado"),CONCATENATE("R",'Mapa final'!$A$22),"")</f>
        <v/>
      </c>
      <c r="AA38" s="256"/>
      <c r="AB38" s="273" t="str">
        <f>IF(AND('Mapa final'!$H$10="Muy Baja",'Mapa final'!$L$10="Mayor"),CONCATENATE("R",'Mapa final'!$A$10),"")</f>
        <v/>
      </c>
      <c r="AC38" s="274"/>
      <c r="AD38" s="274" t="str">
        <f>IF(AND('Mapa final'!$H$16="Muy Baja",'Mapa final'!$L$16="Mayor"),CONCATENATE("R",'Mapa final'!$A$16),"")</f>
        <v/>
      </c>
      <c r="AE38" s="274"/>
      <c r="AF38" s="274" t="str">
        <f>IF(AND('Mapa final'!$H$22="Muy Baja",'Mapa final'!$L$22="Mayor"),CONCATENATE("R",'Mapa final'!$A$22),"")</f>
        <v/>
      </c>
      <c r="AG38" s="275"/>
      <c r="AH38" s="263" t="str">
        <f>IF(AND('Mapa final'!$H$10="Muy Baja",'Mapa final'!$L$10="Catastrófico"),CONCATENATE("R",'Mapa final'!$A$10),"")</f>
        <v/>
      </c>
      <c r="AI38" s="264"/>
      <c r="AJ38" s="264" t="str">
        <f>IF(AND('Mapa final'!$H$16="Muy Baja",'Mapa final'!$L$16="Catastrófico"),CONCATENATE("R",'Mapa final'!$A$16),"")</f>
        <v/>
      </c>
      <c r="AK38" s="264"/>
      <c r="AL38" s="264" t="str">
        <f>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IF(AND('Mapa final'!$H$28="Muy Baja",'Mapa final'!$L$28="Leve"),CONCATENATE("R",'Mapa final'!$A$28),"")</f>
        <v/>
      </c>
      <c r="K40" s="240"/>
      <c r="L40" s="240" t="str">
        <f>IF(AND('Mapa final'!$H$34="Muy Baja",'Mapa final'!$L$34="Leve"),CONCATENATE("R",'Mapa final'!$A$34),"")</f>
        <v/>
      </c>
      <c r="M40" s="240"/>
      <c r="N40" s="240" t="str">
        <f>IF(AND('Mapa final'!$H$40="Muy Baja",'Mapa final'!$L$40="Leve"),CONCATENATE("R",'Mapa final'!$A$40),"")</f>
        <v/>
      </c>
      <c r="O40" s="241"/>
      <c r="P40" s="239" t="str">
        <f>IF(AND('Mapa final'!$H$28="Muy Baja",'Mapa final'!$L$28="Menor"),CONCATENATE("R",'Mapa final'!$A$28),"")</f>
        <v/>
      </c>
      <c r="Q40" s="240"/>
      <c r="R40" s="240" t="str">
        <f>IF(AND('Mapa final'!$H$34="Muy Baja",'Mapa final'!$L$34="Menor"),CONCATENATE("R",'Mapa final'!$A$34),"")</f>
        <v/>
      </c>
      <c r="S40" s="240"/>
      <c r="T40" s="240" t="str">
        <f>IF(AND('Mapa final'!$H$40="Muy Baja",'Mapa final'!$L$40="Menor"),CONCATENATE("R",'Mapa final'!$A$40),"")</f>
        <v/>
      </c>
      <c r="U40" s="241"/>
      <c r="V40" s="248" t="str">
        <f>IF(AND('Mapa final'!$H$28="Muy Baja",'Mapa final'!$L$28="Moderado"),CONCATENATE("R",'Mapa final'!$A$28),"")</f>
        <v/>
      </c>
      <c r="W40" s="249"/>
      <c r="X40" s="249" t="str">
        <f>IF(AND('Mapa final'!$H$34="Muy Baja",'Mapa final'!$L$34="Moderado"),CONCATENATE("R",'Mapa final'!$A$34),"")</f>
        <v/>
      </c>
      <c r="Y40" s="249"/>
      <c r="Z40" s="249" t="str">
        <f>IF(AND('Mapa final'!$H$40="Muy Baja",'Mapa final'!$L$40="Moderado"),CONCATENATE("R",'Mapa final'!$A$40),"")</f>
        <v/>
      </c>
      <c r="AA40" s="250"/>
      <c r="AB40" s="266" t="str">
        <f>IF(AND('Mapa final'!$H$28="Muy Baja",'Mapa final'!$L$28="Mayor"),CONCATENATE("R",'Mapa final'!$A$28),"")</f>
        <v/>
      </c>
      <c r="AC40" s="267"/>
      <c r="AD40" s="268" t="str">
        <f>IF(AND('Mapa final'!$H$34="Muy Baja",'Mapa final'!$L$34="Mayor"),CONCATENATE("R",'Mapa final'!$A$34),"")</f>
        <v/>
      </c>
      <c r="AE40" s="268"/>
      <c r="AF40" s="268" t="str">
        <f>IF(AND('Mapa final'!$H$40="Muy Baja",'Mapa final'!$L$40="Mayor"),CONCATENATE("R",'Mapa final'!$A$40),"")</f>
        <v/>
      </c>
      <c r="AG40" s="269"/>
      <c r="AH40" s="257" t="str">
        <f>IF(AND('Mapa final'!$H$28="Muy Baja",'Mapa final'!$L$28="Catastrófico"),CONCATENATE("R",'Mapa final'!$A$28),"")</f>
        <v/>
      </c>
      <c r="AI40" s="258"/>
      <c r="AJ40" s="258" t="str">
        <f>IF(AND('Mapa final'!$H$34="Muy Baja",'Mapa final'!$L$34="Catastrófico"),CONCATENATE("R",'Mapa final'!$A$34),"")</f>
        <v/>
      </c>
      <c r="AK40" s="258"/>
      <c r="AL40" s="258" t="str">
        <f>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IF(AND('Mapa final'!$H$46="Muy Baja",'Mapa final'!$L$46="Leve"),CONCATENATE("R",'Mapa final'!$A$46),"")</f>
        <v/>
      </c>
      <c r="K42" s="240"/>
      <c r="L42" s="240" t="str">
        <f>IF(AND('Mapa final'!$H$52="Muy Baja",'Mapa final'!$L$52="Leve"),CONCATENATE("R",'Mapa final'!$A$52),"")</f>
        <v/>
      </c>
      <c r="M42" s="240"/>
      <c r="N42" s="240" t="str">
        <f>IF(AND('Mapa final'!$H$58="Muy Baja",'Mapa final'!$L$58="Leve"),CONCATENATE("R",'Mapa final'!$A$58),"")</f>
        <v/>
      </c>
      <c r="O42" s="241"/>
      <c r="P42" s="239" t="str">
        <f>IF(AND('Mapa final'!$H$46="Muy Baja",'Mapa final'!$L$46="Menor"),CONCATENATE("R",'Mapa final'!$A$46),"")</f>
        <v/>
      </c>
      <c r="Q42" s="240"/>
      <c r="R42" s="240" t="str">
        <f>IF(AND('Mapa final'!$H$52="Muy Baja",'Mapa final'!$L$52="Menor"),CONCATENATE("R",'Mapa final'!$A$52),"")</f>
        <v/>
      </c>
      <c r="S42" s="240"/>
      <c r="T42" s="240" t="str">
        <f>IF(AND('Mapa final'!$H$58="Muy Baja",'Mapa final'!$L$58="Menor"),CONCATENATE("R",'Mapa final'!$A$58),"")</f>
        <v/>
      </c>
      <c r="U42" s="241"/>
      <c r="V42" s="248" t="str">
        <f>IF(AND('Mapa final'!$H$46="Muy Baja",'Mapa final'!$L$46="Moderado"),CONCATENATE("R",'Mapa final'!$A$46),"")</f>
        <v/>
      </c>
      <c r="W42" s="249"/>
      <c r="X42" s="249" t="str">
        <f>IF(AND('Mapa final'!$H$52="Muy Baja",'Mapa final'!$L$52="Moderado"),CONCATENATE("R",'Mapa final'!$A$52),"")</f>
        <v/>
      </c>
      <c r="Y42" s="249"/>
      <c r="Z42" s="249" t="str">
        <f>IF(AND('Mapa final'!$H$58="Muy Baja",'Mapa final'!$L$58="Moderado"),CONCATENATE("R",'Mapa final'!$A$58),"")</f>
        <v/>
      </c>
      <c r="AA42" s="250"/>
      <c r="AB42" s="266" t="str">
        <f>IF(AND('Mapa final'!$H$46="Muy Baja",'Mapa final'!$L$46="Mayor"),CONCATENATE("R",'Mapa final'!$A$46),"")</f>
        <v/>
      </c>
      <c r="AC42" s="267"/>
      <c r="AD42" s="268" t="str">
        <f>IF(AND('Mapa final'!$H$52="Muy Baja",'Mapa final'!$L$52="Mayor"),CONCATENATE("R",'Mapa final'!$A$52),"")</f>
        <v/>
      </c>
      <c r="AE42" s="268"/>
      <c r="AF42" s="268" t="str">
        <f>IF(AND('Mapa final'!$H$58="Muy Baja",'Mapa final'!$L$58="Mayor"),CONCATENATE("R",'Mapa final'!$A$58),"")</f>
        <v/>
      </c>
      <c r="AG42" s="269"/>
      <c r="AH42" s="257" t="str">
        <f>IF(AND('Mapa final'!$H$46="Muy Baja",'Mapa final'!$L$46="Catastrófico"),CONCATENATE("R",'Mapa final'!$A$46),"")</f>
        <v/>
      </c>
      <c r="AI42" s="258"/>
      <c r="AJ42" s="258" t="str">
        <f>IF(AND('Mapa final'!$H$52="Muy Baja",'Mapa final'!$L$52="Catastrófico"),CONCATENATE("R",'Mapa final'!$A$52),"")</f>
        <v/>
      </c>
      <c r="AK42" s="258"/>
      <c r="AL42" s="258" t="str">
        <f>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IF(AND('Mapa final'!$Y$10="Baja",'Mapa final'!$AA$10="Leve"),CONCATENATE("R1C",'Mapa final'!$O$10),"")</f>
        <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IF(AND('Mapa final'!$Y$10="Baja",'Mapa final'!$AA$10="Mayor"),CONCATENATE("R1C",'Mapa final'!$O$10),"")</f>
        <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IF(AND('Mapa final'!$Y$10="Muy Baja",'Mapa final'!$AA$10="Leve"),CONCATENATE("R1C",'Mapa final'!$O$10),"")</f>
        <v>R1C1</v>
      </c>
      <c r="K46" s="75" t="str">
        <f>IF(AND('Mapa final'!$Y$11="Muy Baja",'Mapa final'!$AA$11="Leve"),CONCATENATE("R1C",'Mapa final'!$O$11),"")</f>
        <v>R1C2</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IF(NOT(ISERROR(MATCH(G210,_xlfn.ANCHORARRAY(B221),0))),F223&amp;"Por favor no seleccionar los criterios de impacto",G210)</f>
        <v>❌Por favor no seleccionar los criterios de impacto</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str" cm="1">
        <f t="array" ref="B221:B223">_xlfn.UNIQUE(Tabla1[[#All],[Criterios]])</f>
        <v>Criterios</v>
      </c>
      <c r="C221" s="32"/>
      <c r="E221" t="s">
        <v>118</v>
      </c>
      <c r="F221" t="str">
        <f t="shared" si="0"/>
        <v xml:space="preserve">     El riesgo afecta la imagen de la entidad a nivel nacional, con efecto publicitarios sostenible a nivel país</v>
      </c>
    </row>
    <row r="222" spans="1:8" x14ac:dyDescent="0.25">
      <c r="A222" s="84"/>
      <c r="B222" s="32" t="str">
        <v>Afectación Económica o presupuestal</v>
      </c>
      <c r="C222" s="32"/>
    </row>
    <row r="223" spans="1:8" x14ac:dyDescent="0.25">
      <c r="B223" s="32" t="str">
        <v>Pérdida Reputacional</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xr:uid="{00000000-0002-0000-0500-00000000000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xmlns:xlrd2="http://schemas.microsoft.com/office/spreadsheetml/2017/richdata2"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JEFE DE CONTROL INTERNO</cp:lastModifiedBy>
  <cp:lastPrinted>2020-05-13T01:12:22Z</cp:lastPrinted>
  <dcterms:created xsi:type="dcterms:W3CDTF">2020-03-24T23:12:47Z</dcterms:created>
  <dcterms:modified xsi:type="dcterms:W3CDTF">2025-04-07T21:15:41Z</dcterms:modified>
</cp:coreProperties>
</file>