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1" i="1"/>
  <c r="K42" i="1"/>
  <c r="K32" i="1"/>
  <c r="K65" i="1"/>
  <c r="K68" i="1"/>
  <c r="K36" i="1"/>
  <c r="K20" i="1"/>
  <c r="K47" i="1"/>
  <c r="K57" i="1"/>
  <c r="K60" i="1"/>
  <c r="K38" i="1"/>
  <c r="K48" i="1"/>
  <c r="K23" i="1"/>
  <c r="K69" i="1"/>
  <c r="K67" i="1"/>
  <c r="K17" i="1"/>
  <c r="K37" i="1"/>
  <c r="K24" i="1"/>
  <c r="K44" i="1"/>
  <c r="K39" i="1"/>
  <c r="K43" i="1"/>
  <c r="K63" i="1"/>
  <c r="K51" i="1"/>
  <c r="K59" i="1"/>
  <c r="K29" i="1"/>
  <c r="K27" i="1"/>
  <c r="K33" i="1"/>
  <c r="K45" i="1"/>
  <c r="K30" i="1"/>
  <c r="K26" i="1"/>
  <c r="K66" i="1"/>
  <c r="K19" i="1"/>
  <c r="K53" i="1"/>
  <c r="K55" i="1"/>
  <c r="K41" i="1"/>
  <c r="K18" i="1"/>
  <c r="K62" i="1"/>
  <c r="K35" i="1"/>
  <c r="K50" i="1"/>
  <c r="K25" i="1"/>
  <c r="K54" i="1"/>
  <c r="K21" i="1"/>
  <c r="K49" i="1"/>
  <c r="K56" i="1"/>
  <c r="K31" i="1"/>
  <c r="F221" i="13" l="1"/>
  <c r="F211" i="13"/>
  <c r="F212" i="13"/>
  <c r="F213" i="13"/>
  <c r="F214" i="13"/>
  <c r="F215" i="13"/>
  <c r="F216" i="13"/>
  <c r="F217" i="13"/>
  <c r="F218" i="13"/>
  <c r="F219" i="13"/>
  <c r="F220" i="13"/>
  <c r="F210" i="13"/>
  <c r="K15" i="1"/>
  <c r="K11" i="1"/>
  <c r="K12" i="1"/>
  <c r="K14" i="1"/>
  <c r="B221" i="13" a="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B16" i="1" l="1"/>
  <c r="AA16" i="1" s="1"/>
  <c r="P17" i="19" s="1"/>
  <c r="AB17" i="1"/>
  <c r="AA10" i="1"/>
  <c r="AB11" i="1"/>
  <c r="AA11"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AB12" i="1" l="1"/>
  <c r="AA12" i="1" s="1"/>
  <c r="R16" i="19" s="1"/>
  <c r="J17" i="19"/>
  <c r="AA17" i="1"/>
  <c r="W37" i="19" s="1"/>
  <c r="AB18" i="1"/>
  <c r="AA18" i="1" s="1"/>
  <c r="AB17" i="19"/>
  <c r="AH37" i="19"/>
  <c r="V17" i="19"/>
  <c r="AH17" i="19"/>
  <c r="AH27" i="19"/>
  <c r="J7" i="19"/>
  <c r="AB47" i="19"/>
  <c r="V7" i="19"/>
  <c r="AC16" i="1"/>
  <c r="AB7" i="19"/>
  <c r="AB27" i="19"/>
  <c r="P47" i="19"/>
  <c r="AH47" i="19"/>
  <c r="J47" i="19"/>
  <c r="V47" i="19"/>
  <c r="J37" i="19"/>
  <c r="V37" i="19"/>
  <c r="P37" i="19"/>
  <c r="AB37" i="19"/>
  <c r="P7" i="19"/>
  <c r="AH7" i="19"/>
  <c r="P27" i="19"/>
  <c r="J27" i="19"/>
  <c r="V27"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 r="AD6" i="19" l="1"/>
  <c r="AJ36" i="19"/>
  <c r="AD26" i="19"/>
  <c r="X26" i="19"/>
  <c r="R36" i="19"/>
  <c r="X16" i="19"/>
  <c r="L6" i="19"/>
  <c r="AJ6" i="19"/>
  <c r="X6" i="19"/>
  <c r="R26" i="19"/>
  <c r="L26" i="19"/>
  <c r="R46" i="19"/>
  <c r="L16" i="19"/>
  <c r="AD16" i="19"/>
  <c r="AJ26" i="19"/>
  <c r="L46" i="19"/>
  <c r="AD36" i="19"/>
  <c r="R6" i="19"/>
  <c r="AC12" i="1"/>
  <c r="L36" i="19"/>
  <c r="AJ16" i="19"/>
  <c r="X36" i="19"/>
  <c r="X46" i="19"/>
  <c r="AJ46" i="19"/>
  <c r="AD46" i="19"/>
  <c r="Q27" i="19"/>
  <c r="K37" i="19"/>
  <c r="Q17" i="19"/>
  <c r="W27" i="19"/>
  <c r="K7" i="19"/>
  <c r="AC17" i="1"/>
  <c r="AC37" i="19"/>
  <c r="AC47" i="19"/>
  <c r="AC27" i="19"/>
  <c r="W7" i="19"/>
  <c r="Q47" i="19"/>
  <c r="AI37" i="19"/>
  <c r="K27" i="19"/>
  <c r="AI27" i="19"/>
  <c r="Q37" i="19"/>
  <c r="W47" i="19"/>
  <c r="K17" i="19"/>
  <c r="Q7" i="19"/>
  <c r="AI47" i="19"/>
  <c r="K47" i="19"/>
  <c r="AI17" i="19"/>
  <c r="AC7" i="19"/>
  <c r="AC17" i="19"/>
  <c r="W17" i="19"/>
  <c r="AI7" i="19"/>
  <c r="AJ37" i="19"/>
  <c r="X7" i="19"/>
  <c r="R7" i="19"/>
  <c r="X37" i="19"/>
  <c r="X47" i="19"/>
  <c r="X17" i="19"/>
  <c r="L27" i="19"/>
  <c r="AC18" i="1"/>
  <c r="AD47" i="19"/>
  <c r="AD17" i="19"/>
  <c r="L7" i="19"/>
  <c r="AJ47" i="19"/>
  <c r="R47" i="19"/>
  <c r="AJ27" i="19"/>
  <c r="L37" i="19"/>
  <c r="L17" i="19"/>
  <c r="L47" i="19"/>
  <c r="AD37" i="19"/>
  <c r="AD27" i="19"/>
  <c r="R17" i="19"/>
  <c r="R27" i="19"/>
  <c r="R37" i="19"/>
  <c r="AJ7" i="19"/>
  <c r="AJ17" i="19"/>
  <c r="X27" i="19"/>
  <c r="AD7"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<sst xmlns="http://schemas.openxmlformats.org/spreadsheetml/2006/main" count="403" uniqueCount="251">
  <si>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</si>
  <si>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</si>
  <si>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</si>
  <si>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</si>
  <si>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</si>
  <si>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</si>
  <si>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</si>
  <si>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</si>
  <si>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</si>
  <si>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</si>
  <si>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</si>
  <si>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</si>
  <si>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</si>
  <si>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</si>
  <si>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</si>
  <si>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</si>
  <si>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</si>
  <si>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</si>
  <si>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</si>
  <si>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</si>
  <si>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</si>
  <si>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</si>
  <si>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</si>
  <si>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</si>
  <si>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</si>
  <si>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</si>
  <si>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</si>
  <si>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</si>
  <si>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</si>
  <si>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</si>
  <si>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</si>
  <si>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</si>
  <si>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</si>
  <si>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</si>
  <si>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</si>
  <si>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</si>
  <si>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</si>
  <si>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</si>
  <si>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</si>
  <si>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</si>
  <si>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</si>
  <si>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</si>
  <si>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</si>
  <si>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</si>
  <si>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</si>
  <si>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</si>
  <si>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</si>
  <si>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</si>
  <si>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</si>
  <si>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</si>
  <si>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</si>
  <si>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</si>
  <si>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</si>
  <si>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</si>
  <si>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</si>
  <si>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</si>
  <si>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</si>
  <si>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</si>
  <si>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</si>
  <si>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</si>
  <si>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</si>
  <si>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</si>
  <si>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</si>
  <si>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</si>
  <si>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</si>
  <si>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</si>
  <si>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</si>
  <si>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</si>
  <si>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</si>
  <si>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</si>
  <si>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</si>
  <si>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</si>
  <si>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</si>
  <si>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</si>
  <si>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</si>
  <si>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</si>
  <si>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</si>
  <si>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</si>
  <si>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</si>
  <si>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</si>
  <si>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</si>
  <si>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</si>
  <si>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</si>
  <si>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</si>
  <si>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</si>
  <si>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</si>
  <si>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</si>
  <si>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</si>
  <si>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</si>
  <si>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</si>
  <si>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</si>
  <si>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</si>
  <si>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</si>
  <si>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</si>
  <si>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</si>
  <si>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</si>
  <si>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</si>
  <si>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</si>
  <si>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</si>
  <si>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</si>
  <si>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</si>
  <si>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</si>
  <si>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</si>
  <si>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</si>
  <si>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</si>
  <si>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</si>
  <si>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</si>
  <si>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</si>
  <si>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</si>
  <si>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</si>
  <si>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</si>
  <si>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</si>
  <si>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</si>
  <si>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</si>
  <si>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</si>
  <si>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</si>
  <si>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</si>
  <si>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</si>
  <si>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</si>
  <si>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</si>
  <si>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</si>
  <si>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</si>
  <si>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</si>
  <si>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</si>
  <si>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</si>
  <si>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</si>
  <si>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</si>
  <si>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</si>
  <si>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</si>
  <si>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</si>
  <si>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</si>
  <si>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</si>
  <si>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</si>
  <si>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</si>
  <si>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</si>
  <si>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</si>
  <si>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</si>
  <si>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</si>
  <si>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</si>
  <si>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</si>
  <si>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</si>
  <si>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</si>
  <si>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</si>
  <si>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</si>
  <si>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</si>
  <si>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</si>
  <si>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</si>
  <si>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</si>
  <si>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</si>
  <si>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</si>
  <si>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</si>
  <si>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</si>
  <si>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</si>
  <si>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</si>
  <si>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</si>
  <si>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</si>
  <si>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</si>
  <si>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</si>
  <si>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</si>
  <si>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</si>
  <si>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</si>
  <si>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</si>
  <si>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</si>
  <si>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</si>
  <si>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</si>
  <si>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</si>
  <si>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</si>
  <si>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</si>
  <si>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</si>
  <si>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</si>
  <si>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</si>
  <si>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</si>
  <si>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</si>
  <si>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</si>
  <si>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</si>
  <si>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</si>
  <si>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</si>
  <si>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</si>
  <si>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</si>
  <si>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</si>
  <si>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</si>
  <si>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</si>
  <si>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</si>
  <si>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</si>
  <si>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</si>
  <si>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</si>
  <si>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</si>
  <si>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</si>
  <si>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</si>
  <si>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</si>
  <si>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</si>
  <si>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</si>
  <si>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</si>
  <si>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</si>
  <si>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</si>
  <si>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</si>
  <si>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</si>
  <si>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</si>
  <si>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</si>
  <si>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</si>
  <si>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</si>
  <si>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</si>
  <si>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</si>
  <si>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</si>
  <si>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</si>
  <si>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</si>
  <si>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</si>
  <si>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</si>
  <si>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</si>
  <si>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</si>
  <si>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</si>
  <si>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</si>
  <si>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</si>
  <si>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</si>
  <si>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</si>
  <si>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</si>
  <si>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</si>
  <si>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</si>
  <si>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</si>
  <si>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</si>
  <si>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</si>
  <si>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</si>
  <si>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</si>
  <si>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</si>
  <si>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</si>
  <si>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</si>
  <si>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</si>
  <si>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</si>
  <si>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</si>
  <si>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</si>
  <si>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</si>
  <si>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Todos los procesos</t>
  </si>
  <si>
    <t>Lider deVicerrectoría Administrativa y lider area de informatica</t>
  </si>
  <si>
    <t>Adecuaciones de iluminación  para implementar las medidas de seguridad de la matriz de riesgo de la Institución en todos los espacios académicos, las cuales dificultan las labores de vigilancia y preservación de los bienes de la Institución de acuerdo a las directrices de la Presidencia de la Republica.</t>
  </si>
  <si>
    <t xml:space="preserve">Adecuacu camaras que ya estan instaladas en la zona de parqueaderos del edificio antiguo </t>
  </si>
  <si>
    <t xml:space="preserve">Adelantar los mantenimientos correctivos y preventivos con personal de planta y de contrato teniendo en cuenta la información relacionada en el seguimiento trimestral que se haga del plan. </t>
  </si>
  <si>
    <t>Lider deVicerrectoría Administrativa y lider de procesos</t>
  </si>
  <si>
    <t xml:space="preserve"> "Realizar las actividades concernientes al informe del resultado diagnóstico integral de archivo"</t>
  </si>
  <si>
    <t>Lider deVicerrectoría Administrativa y lider de proceso Gestion docuemntal</t>
  </si>
  <si>
    <t>Realizar el plan de accion detectando las areas o dependencias que incumplieron con la entrega del archivo historico</t>
  </si>
  <si>
    <t>Remodelación iluminación zonas exteriores ITFIP que limita los alrededores con los barrios del municipio de Espinal</t>
  </si>
  <si>
    <t>Compra de materiales para arreglar las camaras instaladas que se encuentran fuera de servicio</t>
  </si>
  <si>
    <t>La oficina de sistemas cada semana y de manera permanente solicita a los funcionarios hacer las copias de seguridad de la información. Se evidencia correos enviados, el drive de cada dependencia y guia y video de backups, la información esta almacenada en los drive de cada area de trabajo</t>
  </si>
  <si>
    <t xml:space="preserve">Realizar el plan anual de transferencias 2024 y su seguimiento de las 3 oficinas que tienen archivos por entregar (Tesorería, Almacén y convenios) </t>
  </si>
  <si>
    <t>Se evidencia  mantenimiento de las camaras de seguridad instaladas en la Institución y la compra de materiales para el repectivo mantenimiento, lo anterior para su eficaz funcionamiento para la seguridad de la Institución</t>
  </si>
  <si>
    <t>Se evidencia el plan de mantenimiento de la vigencia 2024 y su respectiva ejecución en cual se estan cumpliendo todas las actividades programadas con sus repectivos contratos para el mantenimiento preventivo y correctivo de las instalaciones de la Institución</t>
  </si>
  <si>
    <t>Se evidencia circular interna No. 5 "Transferencias documentales pendientes" de la vicerectora Administrativa a lo líderes de los procesos con el fin de organizar y hacer la entregar de los documentos de archivo de años anteriores programadas según el cronograma,  boletín informativo de archivo central en el mes de mayo, envio de las series y subseries a cada dependencias de la cvlasificación documental</t>
  </si>
  <si>
    <t>Realizar las actividad de Adecuación de instalaciones, eléctricas y de ventilacion conforme al plan de Accion del año 2024</t>
  </si>
  <si>
    <t>Se evidencia mantenimiento y adecuación de instalaciones eléctricas y aires acondicionados en el cronograma de mantenimiento de la vigencia 2024: los soportes de evidencias se observa en los informes de los contratos de prestación de servicio y adquisición de suministros</t>
  </si>
  <si>
    <t>Se evidencia instalación de las camaras de seguridad en el bloque E y parqueaderos, así mismo el centro de control y monitoreo en la oficina de Vicerectoría Administrativa, asu vez se evidencia las camaras de seguridad de los bloques A,B,C, cafetería, parqueaderos con su respectivo centro de monitoreo vigilado por el celador encargado.</t>
  </si>
  <si>
    <t>Realizo contrato de Iluminacion parte periferica de la Institucion y senderos con el fin de controlar y vigilar por parte de la empresa de vigilancia los linderos de la Institucion, se evidencia puesta en marcha de las iluminarias de la cancha de futbol sintetica que genera iluminación parcial a la zona lateral del barrio Arkabal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</si>
</sst>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35" zoomScale="85" zoomScaleNormal="85" workbookViewId="0">
      <selection activeCell="AJ36" sqref="AJ3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231</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232</v>
      </c>
      <c r="AG10" s="137">
        <v>45657</v>
      </c>
      <c r="AH10" s="137">
        <v>45544</v>
      </c>
      <c r="AI10" s="135" t="s">
        <v>242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239</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0.24</v>
      </c>
      <c r="Y11" s="131" t="str">
        <f t="shared" ref="Y11:Y69" si="1">IFERROR(IF(X11="","",IF(X11&lt;=0.2,"Muy Baja",IF(X11&lt;=0.4,"Baja",IF(X11&lt;=0.6,"Media",IF(X11&lt;=0.8,"Alta","Muy Alta"))))),"")</f>
        <v>Baja</v>
      </c>
      <c r="Z11" s="132">
        <f t="shared" ref="Z11:Z15" si="2">+X11</f>
        <v>0.24</v>
      </c>
      <c r="AA11" s="131" t="str">
        <f t="shared" ref="AA11:AA69" ca="1" si="3">IFERROR(IF(AB11="","",IF(AB11&lt;=0.2,"Leve",IF(AB11&lt;=0.4,"Menor",IF(AB11&lt;=0.6,"Moderado",IF(AB11&lt;=0.8,"Mayor","Catastrófico"))))),"")</f>
        <v>Leve</v>
      </c>
      <c r="AB11" s="132">
        <f ca="1">IFERROR(IF(AND(Q10="Impacto",Q11="Impacto"),(AB10-(+AB10*T11)),IF(Q11="Impacto",($M$10-(+$M$10*T11)),IF(Q11="Probabilidad",AB10,""))),"")</f>
        <v>0.15000000000000002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243</v>
      </c>
      <c r="AF11" s="136" t="s">
        <v>236</v>
      </c>
      <c r="AG11" s="137">
        <v>45657</v>
      </c>
      <c r="AH11" s="137">
        <v>45544</v>
      </c>
      <c r="AI11" s="135" t="s">
        <v>246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t="s">
        <v>237</v>
      </c>
      <c r="Q12" s="127" t="str">
        <f>IF(OR(R12="Preventivo",R12="Detectivo"),"Probabilidad",IF(R12="Correctivo","Impacto",""))</f>
        <v>Impacto</v>
      </c>
      <c r="R12" s="128" t="s">
        <v>16</v>
      </c>
      <c r="S12" s="128" t="s">
        <v>9</v>
      </c>
      <c r="T12" s="129" t="str">
        <f t="shared" si="0"/>
        <v>25%</v>
      </c>
      <c r="U12" s="128" t="s">
        <v>19</v>
      </c>
      <c r="V12" s="128" t="s">
        <v>22</v>
      </c>
      <c r="W12" s="128" t="s">
        <v>119</v>
      </c>
      <c r="X12" s="130">
        <f>IFERROR(IF(AND(Q11="Probabilidad",Q12="Probabilidad"),(Z11-(+Z11*T12)),IF(AND(Q11="Impacto",Q12="Probabilidad"),(Z10-(+Z10*T12)),IF(Q12="Impacto",Z11,""))),"")</f>
        <v>0.24</v>
      </c>
      <c r="Y12" s="131" t="str">
        <f t="shared" si="1"/>
        <v>Baja</v>
      </c>
      <c r="Z12" s="132">
        <f t="shared" si="2"/>
        <v>0.24</v>
      </c>
      <c r="AA12" s="131" t="str">
        <f t="shared" ca="1" si="3"/>
        <v>Leve</v>
      </c>
      <c r="AB12" s="132">
        <f ca="1">IFERROR(IF(AND(Q11="Impacto",Q12="Impacto"),(AB11-(+AB11*T12)),IF(AND(Q11="Probabilidad",Q12="Impacto"),(AB10-(+AB10*T12)),IF(Q12="Probabilidad",AB11,""))),"")</f>
        <v>0.11250000000000002</v>
      </c>
      <c r="AC12" s="133" t="str">
        <f t="shared" ca="1" si="4"/>
        <v>Bajo</v>
      </c>
      <c r="AD12" s="134" t="s">
        <v>136</v>
      </c>
      <c r="AE12" s="135" t="s">
        <v>247</v>
      </c>
      <c r="AF12" s="136" t="s">
        <v>238</v>
      </c>
      <c r="AG12" s="137">
        <v>45657</v>
      </c>
      <c r="AH12" s="137">
        <v>45544</v>
      </c>
      <c r="AI12" s="135" t="s">
        <v>248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134</v>
      </c>
      <c r="C16" s="179" t="s">
        <v>223</v>
      </c>
      <c r="D16" s="179" t="s">
        <v>222</v>
      </c>
      <c r="E16" s="191" t="s">
        <v>221</v>
      </c>
      <c r="F16" s="179" t="s">
        <v>129</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226</v>
      </c>
      <c r="AG16" s="137">
        <v>45657</v>
      </c>
      <c r="AH16" s="137">
        <v>45544</v>
      </c>
      <c r="AI16" s="135" t="s">
        <v>249</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38" t="s">
        <v>233</v>
      </c>
      <c r="Q17" s="127" t="str">
        <f>IF(OR(R17="Preventivo",R17="Detectivo"),"Probabilidad",IF(R17="Correctivo","Impacto",""))</f>
        <v>Impacto</v>
      </c>
      <c r="R17" s="128" t="s">
        <v>16</v>
      </c>
      <c r="S17" s="128" t="s">
        <v>10</v>
      </c>
      <c r="T17" s="129" t="str">
        <f t="shared" ref="T17:T21" si="8">IF(AND(R17="Preventivo",S17="Automático"),"50%",IF(AND(R17="Preventivo",S17="Manual"),"40%",IF(AND(R17="Detectivo",S17="Automático"),"40%",IF(AND(R17="Detectivo",S17="Manual"),"30%",IF(AND(R17="Correctivo",S17="Automático"),"35%",IF(AND(R17="Correctivo",S17="Manual"),"25%",""))))))</f>
        <v>35%</v>
      </c>
      <c r="U17" s="128" t="s">
        <v>19</v>
      </c>
      <c r="V17" s="128" t="s">
        <v>22</v>
      </c>
      <c r="W17" s="128" t="s">
        <v>119</v>
      </c>
      <c r="X17" s="130">
        <f>IFERROR(IF(AND(Q16="Probabilidad",Q17="Probabilidad"),(Z16-(+Z16*T17)),IF(Q17="Probabilidad",(I16-(+I16*T17)),IF(Q17="Impacto",Z16,""))),"")</f>
        <v>0.24</v>
      </c>
      <c r="Y17" s="131" t="str">
        <f t="shared" si="1"/>
        <v>Baja</v>
      </c>
      <c r="Z17" s="132">
        <f t="shared" ref="Z17:Z21" si="9">+X17</f>
        <v>0.24</v>
      </c>
      <c r="AA17" s="131" t="str">
        <f t="shared" ca="1" si="3"/>
        <v>Leve</v>
      </c>
      <c r="AB17" s="132">
        <f ca="1">IFERROR(IF(AND(Q16="Impacto",Q17="Impacto"),(AB10-(+AB10*T17)),IF(Q17="Impacto",($M$16-(+$M$16*T17)),IF(Q17="Probabilidad",AB10,""))),"")</f>
        <v>0.13</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240</v>
      </c>
      <c r="AF17" s="136" t="s">
        <v>226</v>
      </c>
      <c r="AG17" s="137">
        <v>45657</v>
      </c>
      <c r="AH17" s="137">
        <v>45544</v>
      </c>
      <c r="AI17" s="135" t="s">
        <v>250</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t="s">
        <v>234</v>
      </c>
      <c r="Q18" s="127" t="str">
        <f>IF(OR(R18="Preventivo",R18="Detectivo"),"Probabilidad",IF(R18="Correctivo","Impacto",""))</f>
        <v>Impacto</v>
      </c>
      <c r="R18" s="128" t="s">
        <v>16</v>
      </c>
      <c r="S18" s="128" t="s">
        <v>10</v>
      </c>
      <c r="T18" s="129" t="str">
        <f t="shared" si="8"/>
        <v>35%</v>
      </c>
      <c r="U18" s="128" t="s">
        <v>19</v>
      </c>
      <c r="V18" s="128" t="s">
        <v>22</v>
      </c>
      <c r="W18" s="128" t="s">
        <v>119</v>
      </c>
      <c r="X18" s="130">
        <f>IFERROR(IF(AND(Q17="Probabilidad",Q18="Probabilidad"),(Z17-(+Z17*T18)),IF(AND(Q17="Impacto",Q18="Probabilidad"),(Z16-(+Z16*T18)),IF(Q18="Impacto",Z17,""))),"")</f>
        <v>0.24</v>
      </c>
      <c r="Y18" s="131" t="str">
        <f t="shared" si="1"/>
        <v>Baja</v>
      </c>
      <c r="Z18" s="132">
        <f t="shared" si="9"/>
        <v>0.24</v>
      </c>
      <c r="AA18" s="131" t="str">
        <f t="shared" ca="1" si="3"/>
        <v>Leve</v>
      </c>
      <c r="AB18" s="132">
        <f ca="1">IFERROR(IF(AND(Q17="Impacto",Q18="Impacto"),(AB17-(+AB17*T18)),IF(AND(Q17="Probabilidad",Q18="Impacto"),(AB16-(+AB16*T18)),IF(Q18="Probabilidad",AB17,""))),"")</f>
        <v>8.4500000000000006E-2</v>
      </c>
      <c r="AC18" s="133" t="str">
        <f t="shared" ca="1" si="10"/>
        <v>Bajo</v>
      </c>
      <c r="AD18" s="134" t="s">
        <v>136</v>
      </c>
      <c r="AE18" s="135" t="s">
        <v>241</v>
      </c>
      <c r="AF18" s="136" t="s">
        <v>226</v>
      </c>
      <c r="AG18" s="137">
        <v>45657</v>
      </c>
      <c r="AH18" s="137">
        <v>45544</v>
      </c>
      <c r="AI18" s="135" t="s">
        <v>244</v>
      </c>
      <c r="AJ18" s="136" t="s">
        <v>41</v>
      </c>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133</v>
      </c>
      <c r="C22" s="179" t="s">
        <v>229</v>
      </c>
      <c r="D22" s="179" t="s">
        <v>228</v>
      </c>
      <c r="E22" s="191" t="s">
        <v>227</v>
      </c>
      <c r="F22" s="179" t="s">
        <v>129</v>
      </c>
      <c r="G22" s="182">
        <v>4</v>
      </c>
      <c r="H22" s="185" t="str">
        <f>IF(G22&lt;=0,"",IF(G22&lt;=2,"Muy Baja",IF(G22&lt;=24,"Baja",IF(G22&lt;=500,"Media",IF(G22&lt;=5000,"Alta","Muy Alta")))))</f>
        <v>Baja</v>
      </c>
      <c r="I22" s="197">
        <f>IF(H22="","",IF(H22="Muy Baja",0.2,IF(H22="Baja",0.4,IF(H22="Media",0.6,IF(H22="Alta",0.8,IF(H22="Muy Alta",1,))))))</f>
        <v>0.4</v>
      </c>
      <c r="J22" s="200" t="s">
        <v>153</v>
      </c>
      <c r="K22" s="197"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5" t="str">
        <f ca="1">IF(OR(K22='Tabla Impacto'!$C$11,K22='Tabla Impacto'!$D$11),"Leve",IF(OR(K22='Tabla Impacto'!$C$12,K22='Tabla Impacto'!$D$12),"Menor",IF(OR(K22='Tabla Impacto'!$C$13,K22='Tabla Impacto'!$D$13),"Moderado",IF(OR(K22='Tabla Impacto'!$C$14,K22='Tabla Impacto'!$D$14),"Mayor",IF(OR(K22='Tabla Impacto'!$C$15,K22='Tabla Impacto'!$D$15),"Catastrófico","")))))</f>
        <v>Leve</v>
      </c>
      <c r="M22" s="197">
        <f ca="1">IF(L22="","",IF(L22="Leve",0.2,IF(L22="Menor",0.4,IF(L22="Moderado",0.6,IF(L22="Mayor",0.8,IF(L22="Catastrófico",1,))))))</f>
        <v>0.2</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235</v>
      </c>
      <c r="AF22" s="136" t="s">
        <v>226</v>
      </c>
      <c r="AG22" s="137">
        <v>45657</v>
      </c>
      <c r="AH22" s="137">
        <v>45544</v>
      </c>
      <c r="AI22" s="135" t="s">
        <v>245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R3</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 ca="1">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 ca="1">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 ca="1">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 ca="1">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 ca="1">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 ca="1">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 ca="1">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 ca="1">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 ca="1">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 ca="1">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 ca="1">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 ca="1">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 ca="1">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 ca="1">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 ca="1">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 ca="1">IF(AND('Mapa final'!$Y$17="Baja",'Mapa final'!$AA$17="Leve"),CONCATENATE("R2C",'Mapa final'!$O$17),"")</f>
        <v>R2C2</v>
      </c>
      <c r="L37" s="78" t="str">
        <f ca="1">IF(AND('Mapa final'!$Y$18="Baja",'Mapa final'!$AA$18="Leve"),CONCATENATE("R2C",'Mapa final'!$O$18),"")</f>
        <v>R2C3</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 ca="1">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 ca="1">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 ca="1">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 ca="1">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 ca="1">IF(AND('Mapa final'!$Y$17="Muy Baja",'Mapa final'!$AA$17="Leve"),CONCATENATE("R2C",'Mapa final'!$O$17),"")</f>
        <v/>
      </c>
      <c r="L47" s="78" t="str">
        <f ca="1">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 ca="1">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 ca="1">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 ca="1">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 ca="1">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2024-09-23T22:52:51Z</dcterms:modified>
</cp:coreProperties>
</file>