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r:id="rId8"/>
    <sheet name="Hoja1" sheetId="11" r:id="rId9"/>
  </sheets>
  <definedNames>
    <definedName name="Corrupción">'Opciones Tratamiento'!$N$3</definedName>
    <definedName name="Económico">'Opciones Tratamiento'!$J$3</definedName>
    <definedName name="Económico_Reputacional">'Opciones Tratamiento'!$L$33</definedName>
    <definedName name="Fiscal">'Opciones Tratamiento'!$M$3:$M$5</definedName>
    <definedName name="Impa_econo">'Opciones Tratamiento'!$J$3</definedName>
    <definedName name="Reputacional">'Opciones Tratamiento'!$K$3</definedName>
    <definedName name="Tipo_Riesgo">'Opciones Tratamiento'!$H$2:$H$3</definedName>
  </definedName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1" l="1"/>
  <c r="J10" i="1" l="1"/>
  <c r="K10" i="1" s="1"/>
  <c r="V10" i="1"/>
  <c r="M62" i="1"/>
  <c r="M59" i="1"/>
  <c r="M57" i="1"/>
  <c r="M31" i="1"/>
  <c r="M69" i="1"/>
  <c r="M29" i="1"/>
  <c r="M49" i="1"/>
  <c r="M60" i="1"/>
  <c r="M54" i="1"/>
  <c r="M30" i="1"/>
  <c r="M38" i="1"/>
  <c r="M48" i="1"/>
  <c r="M35" i="1"/>
  <c r="M63" i="1"/>
  <c r="M47" i="1"/>
  <c r="M56" i="1"/>
  <c r="M39" i="1"/>
  <c r="M65" i="1"/>
  <c r="M50" i="1"/>
  <c r="M66" i="1"/>
  <c r="M37" i="1"/>
  <c r="M41" i="1"/>
  <c r="M55" i="1"/>
  <c r="M32" i="1"/>
  <c r="M33" i="1"/>
  <c r="M42" i="1"/>
  <c r="M36" i="1"/>
  <c r="M67" i="1"/>
  <c r="M68" i="1"/>
  <c r="M53" i="1"/>
  <c r="M43" i="1"/>
  <c r="M51" i="1"/>
  <c r="M61" i="1"/>
  <c r="M44" i="1"/>
  <c r="M45" i="1"/>
  <c r="M24" i="1"/>
  <c r="M26" i="1"/>
  <c r="M23" i="1"/>
  <c r="M25" i="1"/>
  <c r="M27" i="1"/>
  <c r="M18" i="1"/>
  <c r="M19" i="1"/>
  <c r="M21" i="1"/>
  <c r="M17" i="1"/>
  <c r="M20" i="1"/>
  <c r="F6" i="16" a="1"/>
  <c r="F6" i="16" l="1"/>
  <c r="F221" i="13"/>
  <c r="F211" i="13"/>
  <c r="F212" i="13"/>
  <c r="F213" i="13"/>
  <c r="F214" i="13"/>
  <c r="F215" i="13"/>
  <c r="F216" i="13"/>
  <c r="F217" i="13"/>
  <c r="F218" i="13"/>
  <c r="F219" i="13"/>
  <c r="F220" i="13"/>
  <c r="F210" i="13"/>
  <c r="B221" i="13" a="1"/>
  <c r="M13" i="1"/>
  <c r="M14" i="1"/>
  <c r="M15" i="1"/>
  <c r="M12" i="1"/>
  <c r="M11" i="1"/>
  <c r="B221" i="13" l="1"/>
  <c r="S52" i="1"/>
  <c r="S47" i="1"/>
  <c r="S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J64" i="1"/>
  <c r="K64" i="1" s="1"/>
  <c r="V63" i="1"/>
  <c r="S63" i="1"/>
  <c r="V62" i="1"/>
  <c r="S62" i="1"/>
  <c r="V61" i="1"/>
  <c r="S61" i="1"/>
  <c r="V60" i="1"/>
  <c r="S60" i="1"/>
  <c r="V59" i="1"/>
  <c r="S59" i="1"/>
  <c r="V58" i="1"/>
  <c r="S58" i="1"/>
  <c r="J58" i="1"/>
  <c r="K58" i="1" s="1"/>
  <c r="V57" i="1"/>
  <c r="S57" i="1"/>
  <c r="V56" i="1"/>
  <c r="S56" i="1"/>
  <c r="V55" i="1"/>
  <c r="S55" i="1"/>
  <c r="V54" i="1"/>
  <c r="S54" i="1"/>
  <c r="V53" i="1"/>
  <c r="S53" i="1"/>
  <c r="AD53" i="1" s="1"/>
  <c r="V52" i="1"/>
  <c r="J52" i="1"/>
  <c r="K52" i="1" s="1"/>
  <c r="V51" i="1"/>
  <c r="S51" i="1"/>
  <c r="V50" i="1"/>
  <c r="S50" i="1"/>
  <c r="V49" i="1"/>
  <c r="S49" i="1"/>
  <c r="V48" i="1"/>
  <c r="S48" i="1"/>
  <c r="V47" i="1"/>
  <c r="V46" i="1"/>
  <c r="S46" i="1"/>
  <c r="AD47" i="1" s="1"/>
  <c r="J46" i="1"/>
  <c r="K46" i="1" s="1"/>
  <c r="V45" i="1"/>
  <c r="S45" i="1"/>
  <c r="V44" i="1"/>
  <c r="S44" i="1"/>
  <c r="V43" i="1"/>
  <c r="S43" i="1"/>
  <c r="V42" i="1"/>
  <c r="S42" i="1"/>
  <c r="V41" i="1"/>
  <c r="V40" i="1"/>
  <c r="S40" i="1"/>
  <c r="AD41" i="1" s="1"/>
  <c r="J40" i="1"/>
  <c r="K40" i="1" s="1"/>
  <c r="V39" i="1"/>
  <c r="S39" i="1"/>
  <c r="V38" i="1"/>
  <c r="S38" i="1"/>
  <c r="V37" i="1"/>
  <c r="S37" i="1"/>
  <c r="V36" i="1"/>
  <c r="S36" i="1"/>
  <c r="V35" i="1"/>
  <c r="S35" i="1"/>
  <c r="V34" i="1"/>
  <c r="S34" i="1"/>
  <c r="J34" i="1"/>
  <c r="K34" i="1" s="1"/>
  <c r="V33" i="1"/>
  <c r="S33" i="1"/>
  <c r="V32" i="1"/>
  <c r="S32" i="1"/>
  <c r="V31" i="1"/>
  <c r="S31" i="1"/>
  <c r="V30" i="1"/>
  <c r="S30" i="1"/>
  <c r="V29" i="1"/>
  <c r="S29" i="1"/>
  <c r="V28" i="1"/>
  <c r="S28" i="1"/>
  <c r="J28" i="1"/>
  <c r="K28" i="1" s="1"/>
  <c r="V27" i="1"/>
  <c r="S27" i="1"/>
  <c r="V26" i="1"/>
  <c r="S26" i="1"/>
  <c r="V25" i="1"/>
  <c r="S25" i="1"/>
  <c r="V24" i="1"/>
  <c r="S24" i="1"/>
  <c r="V23" i="1"/>
  <c r="S23" i="1"/>
  <c r="V22" i="1"/>
  <c r="S22" i="1"/>
  <c r="J22" i="1"/>
  <c r="K22" i="1" s="1"/>
  <c r="J16" i="1"/>
  <c r="S15" i="1"/>
  <c r="S14" i="1"/>
  <c r="S13" i="1"/>
  <c r="V21" i="1"/>
  <c r="S21" i="1"/>
  <c r="V20" i="1"/>
  <c r="S20" i="1"/>
  <c r="V19" i="1"/>
  <c r="S19" i="1"/>
  <c r="V18" i="1"/>
  <c r="S18" i="1"/>
  <c r="V17" i="1"/>
  <c r="S17" i="1"/>
  <c r="V16" i="1"/>
  <c r="S16" i="1"/>
  <c r="AD29" i="1" l="1"/>
  <c r="AD65" i="1"/>
  <c r="AD35" i="1"/>
  <c r="AD59" i="1"/>
  <c r="AD50" i="1"/>
  <c r="AC50" i="1" s="1"/>
  <c r="AD51" i="1"/>
  <c r="AC51" i="1" s="1"/>
  <c r="K16" i="1"/>
  <c r="Z16" i="1" s="1"/>
  <c r="Z64" i="1"/>
  <c r="Z58" i="1"/>
  <c r="Z52" i="1"/>
  <c r="Z46" i="1"/>
  <c r="Z50" i="1"/>
  <c r="Z51" i="1"/>
  <c r="Z40" i="1"/>
  <c r="Z34" i="1"/>
  <c r="Z28" i="1"/>
  <c r="Z22" i="1"/>
  <c r="AA64" i="1" l="1"/>
  <c r="AB64" i="1"/>
  <c r="Z65" i="1" s="1"/>
  <c r="AA65" i="1" s="1"/>
  <c r="AA58" i="1"/>
  <c r="AB58" i="1"/>
  <c r="Z59" i="1" s="1"/>
  <c r="AB59" i="1" s="1"/>
  <c r="Z60" i="1" s="1"/>
  <c r="AA52" i="1"/>
  <c r="AB52" i="1"/>
  <c r="Z53" i="1" s="1"/>
  <c r="AB53" i="1" s="1"/>
  <c r="Z54" i="1" s="1"/>
  <c r="AA51" i="1"/>
  <c r="AB51" i="1"/>
  <c r="AA50" i="1"/>
  <c r="AB50" i="1"/>
  <c r="AA46" i="1"/>
  <c r="AB46" i="1"/>
  <c r="AA40" i="1"/>
  <c r="AB40" i="1"/>
  <c r="Z41" i="1" s="1"/>
  <c r="AB41" i="1" s="1"/>
  <c r="Z42" i="1" s="1"/>
  <c r="AA34" i="1"/>
  <c r="AB34" i="1"/>
  <c r="AA28" i="1"/>
  <c r="AB28" i="1"/>
  <c r="Z29" i="1" s="1"/>
  <c r="AB29" i="1" s="1"/>
  <c r="Z30" i="1" s="1"/>
  <c r="AA30" i="1" s="1"/>
  <c r="AA22" i="1"/>
  <c r="AB22" i="1"/>
  <c r="Z23" i="1" s="1"/>
  <c r="AA23" i="1" s="1"/>
  <c r="AA16" i="1"/>
  <c r="AB16" i="1"/>
  <c r="Z17" i="1" s="1"/>
  <c r="AA59" i="1" l="1"/>
  <c r="AA53" i="1"/>
  <c r="AB23" i="1"/>
  <c r="Z24" i="1" s="1"/>
  <c r="AA24" i="1" s="1"/>
  <c r="AA41" i="1"/>
  <c r="AA29" i="1"/>
  <c r="AA42" i="1"/>
  <c r="AB42" i="1"/>
  <c r="AB60" i="1"/>
  <c r="Z61" i="1" s="1"/>
  <c r="AA60" i="1"/>
  <c r="AB54" i="1"/>
  <c r="Z55" i="1" s="1"/>
  <c r="AA54" i="1"/>
  <c r="AB65" i="1"/>
  <c r="Z66" i="1" s="1"/>
  <c r="Z35" i="1"/>
  <c r="Z47" i="1"/>
  <c r="Z48" i="1"/>
  <c r="AB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50" i="1"/>
  <c r="AE51" i="1"/>
  <c r="V11" i="1"/>
  <c r="V12" i="1"/>
  <c r="V13" i="1"/>
  <c r="V14" i="1"/>
  <c r="V15" i="1"/>
  <c r="AA61" i="1" l="1"/>
  <c r="AB61" i="1"/>
  <c r="AA55" i="1"/>
  <c r="AB55" i="1"/>
  <c r="Z56" i="1" s="1"/>
  <c r="AB24" i="1"/>
  <c r="Z25" i="1" s="1"/>
  <c r="AB25" i="1" s="1"/>
  <c r="AA48" i="1"/>
  <c r="AB48" i="1"/>
  <c r="Z49" i="1" s="1"/>
  <c r="AA66" i="1"/>
  <c r="AB66" i="1"/>
  <c r="Z67" i="1" s="1"/>
  <c r="AA47" i="1"/>
  <c r="AB47" i="1"/>
  <c r="Z43" i="1"/>
  <c r="AA35" i="1"/>
  <c r="AB35" i="1"/>
  <c r="Z36" i="1" s="1"/>
  <c r="AA36" i="1" s="1"/>
  <c r="Z32" i="1"/>
  <c r="AA32" i="1" s="1"/>
  <c r="Z31" i="1"/>
  <c r="AA17" i="1"/>
  <c r="AB17" i="1"/>
  <c r="Z18" i="1" s="1"/>
  <c r="AA18" i="1" s="1"/>
  <c r="AB36" i="1" l="1"/>
  <c r="Z37" i="1" s="1"/>
  <c r="AB37" i="1" s="1"/>
  <c r="Z38" i="1" s="1"/>
  <c r="AA56" i="1"/>
  <c r="AB56" i="1"/>
  <c r="Z57" i="1" s="1"/>
  <c r="Z62" i="1"/>
  <c r="Z63" i="1"/>
  <c r="AA25" i="1"/>
  <c r="AA43" i="1"/>
  <c r="AB43" i="1"/>
  <c r="Z44" i="1" s="1"/>
  <c r="AA44" i="1" s="1"/>
  <c r="AA49" i="1"/>
  <c r="AB49" i="1"/>
  <c r="Z26" i="1"/>
  <c r="AB67" i="1"/>
  <c r="AA67" i="1"/>
  <c r="AA31" i="1"/>
  <c r="AB31" i="1"/>
  <c r="AB32" i="1"/>
  <c r="Z33" i="1" s="1"/>
  <c r="AB18" i="1"/>
  <c r="Z19" i="1" s="1"/>
  <c r="AA19" i="1" s="1"/>
  <c r="S12" i="1"/>
  <c r="AA37" i="1" l="1"/>
  <c r="AA63" i="1"/>
  <c r="AB63" i="1"/>
  <c r="AA62" i="1"/>
  <c r="AB62" i="1"/>
  <c r="AA57" i="1"/>
  <c r="AB57" i="1"/>
  <c r="Z68" i="1"/>
  <c r="Z69" i="1"/>
  <c r="AB44" i="1"/>
  <c r="Z45" i="1" s="1"/>
  <c r="AA45" i="1" s="1"/>
  <c r="AB38" i="1"/>
  <c r="Z39" i="1" s="1"/>
  <c r="AA38" i="1"/>
  <c r="AA26" i="1"/>
  <c r="AB26" i="1"/>
  <c r="Z27" i="1" s="1"/>
  <c r="AA27" i="1" s="1"/>
  <c r="AA33" i="1"/>
  <c r="AB33" i="1"/>
  <c r="AB19" i="1"/>
  <c r="Z20" i="1" s="1"/>
  <c r="AB20" i="1" s="1"/>
  <c r="Z21" i="1" s="1"/>
  <c r="Z10" i="1"/>
  <c r="AA10" i="1" s="1"/>
  <c r="AA69" i="1" l="1"/>
  <c r="AB69" i="1"/>
  <c r="AA68" i="1"/>
  <c r="AB68" i="1"/>
  <c r="AA39" i="1"/>
  <c r="AB39" i="1"/>
  <c r="AB45" i="1"/>
  <c r="AB27" i="1"/>
  <c r="AA20" i="1"/>
  <c r="AA21" i="1"/>
  <c r="AB21" i="1"/>
  <c r="S11" i="1"/>
  <c r="AB10" i="1" l="1"/>
  <c r="Z11" i="1" s="1"/>
  <c r="AA11" i="1" l="1"/>
  <c r="AB11" i="1" l="1"/>
  <c r="Z12" i="1" s="1"/>
  <c r="AA12" i="1" s="1"/>
  <c r="AB12" i="1" l="1"/>
  <c r="Z13" i="1" s="1"/>
  <c r="AB13" i="1" l="1"/>
  <c r="Z14" i="1" s="1"/>
  <c r="AA14" i="1" l="1"/>
  <c r="AB14" i="1"/>
  <c r="Z15" i="1" s="1"/>
  <c r="AA13" i="1"/>
  <c r="AA15" i="1" l="1"/>
  <c r="AB15" i="1"/>
  <c r="AD28" i="1" l="1"/>
  <c r="AC28" i="1" s="1"/>
  <c r="AD66" i="1"/>
  <c r="AD58" i="1"/>
  <c r="AD40" i="1"/>
  <c r="AC40" i="1" s="1"/>
  <c r="AD52" i="1"/>
  <c r="AC52" i="1" s="1"/>
  <c r="AD46" i="1"/>
  <c r="AC46" i="1" s="1"/>
  <c r="AD34" i="1"/>
  <c r="AC34" i="1" s="1"/>
  <c r="J40" i="19" l="1"/>
  <c r="V30" i="19"/>
  <c r="AH20" i="19"/>
  <c r="J30" i="19"/>
  <c r="V20" i="19"/>
  <c r="AH10" i="19"/>
  <c r="P10" i="19"/>
  <c r="AB50" i="19"/>
  <c r="J50" i="19"/>
  <c r="AB40" i="19"/>
  <c r="P30" i="19"/>
  <c r="V50" i="19"/>
  <c r="P50" i="19"/>
  <c r="AB10" i="19"/>
  <c r="AH30" i="19"/>
  <c r="AH40" i="19"/>
  <c r="J10" i="19"/>
  <c r="AB20" i="19"/>
  <c r="AH50" i="19"/>
  <c r="AE34" i="1"/>
  <c r="V10" i="19"/>
  <c r="P20" i="19"/>
  <c r="J20" i="19"/>
  <c r="P40" i="19"/>
  <c r="V40" i="19"/>
  <c r="AB30" i="19"/>
  <c r="J11" i="19"/>
  <c r="V11" i="19"/>
  <c r="AB21" i="19"/>
  <c r="P31" i="19"/>
  <c r="J31" i="19"/>
  <c r="AB41" i="19"/>
  <c r="AE40" i="1"/>
  <c r="AH41" i="19"/>
  <c r="P41" i="19"/>
  <c r="J21" i="19"/>
  <c r="AB31" i="19"/>
  <c r="AB51" i="19"/>
  <c r="P21" i="19"/>
  <c r="V41" i="19"/>
  <c r="V31" i="19"/>
  <c r="AH21" i="19"/>
  <c r="AB11" i="19"/>
  <c r="P51" i="19"/>
  <c r="V21" i="19"/>
  <c r="AH31" i="19"/>
  <c r="V51" i="19"/>
  <c r="J51" i="19"/>
  <c r="AH51" i="19"/>
  <c r="AH11" i="19"/>
  <c r="J41" i="19"/>
  <c r="P11" i="19"/>
  <c r="AD24" i="1"/>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AE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66" i="1"/>
  <c r="AD67" i="1"/>
  <c r="AD36" i="1"/>
  <c r="AC35" i="1"/>
  <c r="AC41" i="1"/>
  <c r="AD42" i="1"/>
  <c r="AC42" i="1" s="1"/>
  <c r="AD43" i="1"/>
  <c r="V32" i="19"/>
  <c r="P42" i="19"/>
  <c r="J12" i="19"/>
  <c r="J32" i="19"/>
  <c r="AB52" i="19"/>
  <c r="AE46" i="1"/>
  <c r="J22" i="19"/>
  <c r="V22" i="19"/>
  <c r="J52" i="19"/>
  <c r="AH12" i="19"/>
  <c r="J42" i="19"/>
  <c r="AH42" i="19"/>
  <c r="P32" i="19"/>
  <c r="AB12" i="19"/>
  <c r="AH32" i="19"/>
  <c r="AB32" i="19"/>
  <c r="AB42" i="19"/>
  <c r="V42" i="19"/>
  <c r="V12" i="19"/>
  <c r="V52" i="19"/>
  <c r="AB22" i="19"/>
  <c r="AH52" i="19"/>
  <c r="AH22" i="19"/>
  <c r="P22" i="19"/>
  <c r="P12" i="19"/>
  <c r="P52" i="19"/>
  <c r="AD48" i="1"/>
  <c r="AC48" i="1" s="1"/>
  <c r="AD49" i="1"/>
  <c r="AC49" i="1" s="1"/>
  <c r="AC47" i="1"/>
  <c r="AD18" i="1"/>
  <c r="AC53" i="1"/>
  <c r="AD54" i="1"/>
  <c r="AC59" i="1"/>
  <c r="AD60" i="1"/>
  <c r="AC29" i="1"/>
  <c r="AD30" i="1"/>
  <c r="AC67" i="1" l="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41" i="1"/>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8" i="1"/>
  <c r="AD12" i="19"/>
  <c r="AD32" i="19"/>
  <c r="AD22" i="19"/>
  <c r="X52" i="19"/>
  <c r="AD52" i="19"/>
  <c r="L42" i="19"/>
  <c r="R42" i="19"/>
  <c r="AJ21" i="19"/>
  <c r="AD31" i="19"/>
  <c r="R21" i="19"/>
  <c r="AD41" i="19"/>
  <c r="AJ11" i="19"/>
  <c r="AJ51" i="19"/>
  <c r="AE42" i="1"/>
  <c r="L41" i="19"/>
  <c r="AD11" i="19"/>
  <c r="L21" i="19"/>
  <c r="L11" i="19"/>
  <c r="X51" i="19"/>
  <c r="X21" i="19"/>
  <c r="R11" i="19"/>
  <c r="R31" i="19"/>
  <c r="AJ41" i="19"/>
  <c r="L31" i="19"/>
  <c r="R51" i="19"/>
  <c r="X31" i="19"/>
  <c r="X11" i="19"/>
  <c r="X41" i="19"/>
  <c r="AJ31" i="19"/>
  <c r="AD51" i="19"/>
  <c r="R41" i="19"/>
  <c r="AD21" i="19"/>
  <c r="L51" i="19"/>
  <c r="AD19" i="1"/>
  <c r="AC18" i="1"/>
  <c r="AC30" i="1"/>
  <c r="AD31" i="1"/>
  <c r="AC54" i="1"/>
  <c r="AD55" i="1"/>
  <c r="K42" i="19"/>
  <c r="AC32" i="19"/>
  <c r="W42" i="19"/>
  <c r="AI52" i="19"/>
  <c r="K22" i="19"/>
  <c r="Q32" i="19"/>
  <c r="AI12" i="19"/>
  <c r="AC52" i="19"/>
  <c r="Q42" i="19"/>
  <c r="AC42" i="19"/>
  <c r="K12" i="19"/>
  <c r="Q22" i="19"/>
  <c r="W52" i="19"/>
  <c r="AI42" i="19"/>
  <c r="W32" i="19"/>
  <c r="AI22" i="19"/>
  <c r="W12" i="19"/>
  <c r="AI32" i="19"/>
  <c r="AC12" i="19"/>
  <c r="Q12" i="19"/>
  <c r="Q52" i="19"/>
  <c r="AE47" i="1"/>
  <c r="K32" i="19"/>
  <c r="W22" i="19"/>
  <c r="K52" i="19"/>
  <c r="AC22" i="19"/>
  <c r="AC40" i="19"/>
  <c r="W10" i="19"/>
  <c r="AC50" i="19"/>
  <c r="Q10" i="19"/>
  <c r="Q30" i="19"/>
  <c r="W50" i="19"/>
  <c r="K40" i="19"/>
  <c r="Q50" i="19"/>
  <c r="W20" i="19"/>
  <c r="AE35" i="1"/>
  <c r="K10" i="19"/>
  <c r="Q40" i="19"/>
  <c r="K30" i="19"/>
  <c r="AI50" i="19"/>
  <c r="AI20" i="19"/>
  <c r="K50" i="19"/>
  <c r="AI40" i="19"/>
  <c r="W40" i="19"/>
  <c r="K20" i="19"/>
  <c r="AC10" i="19"/>
  <c r="AI10" i="19"/>
  <c r="AC20" i="19"/>
  <c r="AI30" i="19"/>
  <c r="AC30" i="19"/>
  <c r="W30" i="19"/>
  <c r="Q20" i="19"/>
  <c r="AD25" i="1"/>
  <c r="AC24" i="1"/>
  <c r="AC60" i="1"/>
  <c r="AD61" i="1"/>
  <c r="K39" i="19"/>
  <c r="AC39" i="19"/>
  <c r="W29" i="19"/>
  <c r="AI49" i="19"/>
  <c r="W9" i="19"/>
  <c r="AC19" i="19"/>
  <c r="Q49" i="19"/>
  <c r="W49" i="19"/>
  <c r="AC9" i="19"/>
  <c r="AI9" i="19"/>
  <c r="Q29" i="19"/>
  <c r="W39" i="19"/>
  <c r="Q39" i="19"/>
  <c r="AE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AE49" i="1"/>
  <c r="M52" i="19"/>
  <c r="S12" i="19"/>
  <c r="M32" i="19"/>
  <c r="S52" i="19"/>
  <c r="Y52" i="19"/>
  <c r="Y42" i="19"/>
  <c r="AK12" i="19"/>
  <c r="S22" i="19"/>
  <c r="AE12" i="19"/>
  <c r="Y22" i="19"/>
  <c r="S32" i="19"/>
  <c r="AK52" i="19"/>
  <c r="M22" i="19"/>
  <c r="AK32" i="19"/>
  <c r="AE22" i="19"/>
  <c r="AE42" i="19"/>
  <c r="Y32" i="19"/>
  <c r="M42" i="19"/>
  <c r="Y12" i="19"/>
  <c r="AE52" i="19"/>
  <c r="AK22" i="19"/>
  <c r="S42" i="19"/>
  <c r="AC43" i="1"/>
  <c r="AD45" i="1"/>
  <c r="AC45" i="1" s="1"/>
  <c r="AD44" i="1"/>
  <c r="AC44" i="1" s="1"/>
  <c r="AC36" i="1"/>
  <c r="AD37" i="1"/>
  <c r="AD13" i="1"/>
  <c r="AC13" i="1" s="1"/>
  <c r="AD14" i="1"/>
  <c r="AC14" i="1" l="1"/>
  <c r="AD15" i="1"/>
  <c r="AC15" i="1" s="1"/>
  <c r="R40" i="19"/>
  <c r="AD10" i="19"/>
  <c r="X40" i="19"/>
  <c r="AJ10" i="19"/>
  <c r="R50" i="19"/>
  <c r="X10" i="19"/>
  <c r="R30" i="19"/>
  <c r="AE36" i="1"/>
  <c r="L10" i="19"/>
  <c r="L50" i="19"/>
  <c r="AJ20" i="19"/>
  <c r="AJ40" i="19"/>
  <c r="AD30" i="19"/>
  <c r="R20" i="19"/>
  <c r="AD50" i="19"/>
  <c r="AJ30" i="19"/>
  <c r="AJ50" i="19"/>
  <c r="X30" i="19"/>
  <c r="AD20" i="19"/>
  <c r="L40" i="19"/>
  <c r="X50" i="19"/>
  <c r="X20" i="19"/>
  <c r="AD40" i="19"/>
  <c r="R10" i="19"/>
  <c r="L30" i="19"/>
  <c r="L20" i="19"/>
  <c r="AC55" i="1"/>
  <c r="AD56" i="1"/>
  <c r="AC68" i="1"/>
  <c r="AD69" i="1"/>
  <c r="AC69" i="1" s="1"/>
  <c r="AD47" i="19"/>
  <c r="AJ27" i="19"/>
  <c r="AD27" i="19"/>
  <c r="AJ7" i="19"/>
  <c r="AJ37" i="19"/>
  <c r="L27" i="19"/>
  <c r="AD17" i="19"/>
  <c r="L37" i="19"/>
  <c r="R17" i="19"/>
  <c r="AJ17" i="19"/>
  <c r="X7" i="19"/>
  <c r="X47" i="19"/>
  <c r="L7" i="19"/>
  <c r="L17" i="19"/>
  <c r="R27" i="19"/>
  <c r="X27" i="19"/>
  <c r="R7" i="19"/>
  <c r="X17" i="19"/>
  <c r="AJ47" i="19"/>
  <c r="L47" i="19"/>
  <c r="R37" i="19"/>
  <c r="AD7" i="19"/>
  <c r="X37" i="19"/>
  <c r="AE18" i="1"/>
  <c r="R47" i="19"/>
  <c r="AD37" i="19"/>
  <c r="AD26" i="1"/>
  <c r="AC26" i="1" s="1"/>
  <c r="AC25" i="1"/>
  <c r="AD27" i="1"/>
  <c r="AC27" i="1" s="1"/>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AC19" i="1"/>
  <c r="AD20" i="1"/>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E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E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E13" i="1"/>
  <c r="O11" i="19"/>
  <c r="O21" i="19"/>
  <c r="O51" i="19"/>
  <c r="AA31" i="19"/>
  <c r="AM31" i="19"/>
  <c r="AG51" i="19"/>
  <c r="AA41" i="19"/>
  <c r="AM11" i="19"/>
  <c r="U21" i="19"/>
  <c r="AG41" i="19"/>
  <c r="AM21" i="19"/>
  <c r="AM51" i="19"/>
  <c r="O41" i="19"/>
  <c r="U11" i="19"/>
  <c r="AG31" i="19"/>
  <c r="U41" i="19"/>
  <c r="AE45" i="1"/>
  <c r="AG11" i="19"/>
  <c r="AM41" i="19"/>
  <c r="AA21" i="19"/>
  <c r="AA51" i="19"/>
  <c r="U51" i="19"/>
  <c r="U31" i="19"/>
  <c r="AA11" i="19"/>
  <c r="AG21" i="19"/>
  <c r="O31" i="19"/>
  <c r="AC61" i="1"/>
  <c r="AD62" i="1"/>
  <c r="AC31" i="1"/>
  <c r="AD32" i="1"/>
  <c r="AC32" i="1" s="1"/>
  <c r="AD33" i="1"/>
  <c r="AC33" i="1" s="1"/>
  <c r="AC37" i="1"/>
  <c r="AD38" i="1"/>
  <c r="AE11" i="19"/>
  <c r="Y41" i="19"/>
  <c r="M41" i="19"/>
  <c r="Y21" i="19"/>
  <c r="AK41" i="19"/>
  <c r="S31" i="19"/>
  <c r="M31" i="19"/>
  <c r="M51" i="19"/>
  <c r="Y51" i="19"/>
  <c r="AK21" i="19"/>
  <c r="AK31" i="19"/>
  <c r="Y11" i="19"/>
  <c r="AE41" i="19"/>
  <c r="AE21" i="19"/>
  <c r="S51" i="19"/>
  <c r="AE51" i="19"/>
  <c r="AK51" i="19"/>
  <c r="M21" i="19"/>
  <c r="AE31" i="19"/>
  <c r="AE43" i="1"/>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E30" i="1"/>
  <c r="AD9" i="19"/>
  <c r="AJ49" i="19"/>
  <c r="L39" i="19"/>
  <c r="R19" i="19"/>
  <c r="AJ39" i="19"/>
  <c r="AJ29" i="19"/>
  <c r="AJ19" i="19"/>
  <c r="AJ9" i="19"/>
  <c r="AD49" i="19"/>
  <c r="L19" i="19"/>
  <c r="L29" i="19"/>
  <c r="R49" i="19"/>
  <c r="AC38" i="1" l="1"/>
  <c r="AD39" i="1"/>
  <c r="AC39" i="1" s="1"/>
  <c r="AG39" i="19"/>
  <c r="AG29" i="19"/>
  <c r="AM19" i="19"/>
  <c r="O39" i="19"/>
  <c r="AE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AK17" i="19"/>
  <c r="S27" i="19"/>
  <c r="S37" i="19"/>
  <c r="AE27" i="19"/>
  <c r="Y47" i="19"/>
  <c r="S7" i="19"/>
  <c r="M17" i="19"/>
  <c r="AE17" i="19"/>
  <c r="AK27" i="19"/>
  <c r="Y7" i="19"/>
  <c r="Y37" i="19"/>
  <c r="AE37" i="19"/>
  <c r="Y27" i="19"/>
  <c r="M47" i="19"/>
  <c r="AE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5" i="1"/>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AE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32" i="1"/>
  <c r="T19" i="19"/>
  <c r="AL49" i="19"/>
  <c r="T29" i="19"/>
  <c r="AF29" i="19"/>
  <c r="T18" i="19"/>
  <c r="N48" i="19"/>
  <c r="N8" i="19"/>
  <c r="T28" i="19"/>
  <c r="AF38" i="19"/>
  <c r="Z28" i="19"/>
  <c r="Z18" i="19"/>
  <c r="AF8" i="19"/>
  <c r="AE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31" i="1"/>
  <c r="M9" i="19"/>
  <c r="Y29" i="19"/>
  <c r="AC56" i="1"/>
  <c r="AD57" i="1"/>
  <c r="AC57" i="1" s="1"/>
  <c r="AM46" i="19"/>
  <c r="U36" i="19"/>
  <c r="AG16" i="19"/>
  <c r="O6" i="19"/>
  <c r="AA36" i="19"/>
  <c r="AM16" i="19"/>
  <c r="U6" i="19"/>
  <c r="AG46" i="19"/>
  <c r="AA16" i="19"/>
  <c r="AE15" i="1"/>
  <c r="AA6" i="19"/>
  <c r="AG6" i="19"/>
  <c r="AA46" i="19"/>
  <c r="AM26" i="19"/>
  <c r="U16" i="19"/>
  <c r="O36" i="19"/>
  <c r="U26" i="19"/>
  <c r="O46" i="19"/>
  <c r="AA26" i="19"/>
  <c r="AM6" i="19"/>
  <c r="U46" i="19"/>
  <c r="AG26" i="19"/>
  <c r="O16" i="19"/>
  <c r="AG36" i="19"/>
  <c r="O26" i="19"/>
  <c r="AM36" i="19"/>
  <c r="AC62" i="1"/>
  <c r="AD63" i="1"/>
  <c r="AC63" i="1" s="1"/>
  <c r="AD21" i="1"/>
  <c r="AC21" i="1" s="1"/>
  <c r="AC20" i="1"/>
  <c r="O8" i="19"/>
  <c r="AA48" i="19"/>
  <c r="AM38" i="19"/>
  <c r="U48" i="19"/>
  <c r="AA18" i="19"/>
  <c r="AG18" i="19"/>
  <c r="AG48" i="19"/>
  <c r="AM18" i="19"/>
  <c r="AA28" i="19"/>
  <c r="AG28" i="19"/>
  <c r="AA8" i="19"/>
  <c r="U18" i="19"/>
  <c r="AG38" i="19"/>
  <c r="U38" i="19"/>
  <c r="AM8" i="19"/>
  <c r="AA38" i="19"/>
  <c r="AM48" i="19"/>
  <c r="U28" i="19"/>
  <c r="O38" i="19"/>
  <c r="U8" i="19"/>
  <c r="AG8" i="19"/>
  <c r="AE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E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E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E21" i="1"/>
  <c r="AA17" i="19"/>
  <c r="O7" i="19"/>
  <c r="AA37" i="19"/>
  <c r="AA27" i="19"/>
  <c r="AM27" i="19"/>
  <c r="U17" i="19"/>
  <c r="U47" i="19"/>
  <c r="AG17" i="19"/>
  <c r="O47" i="19"/>
  <c r="Z40" i="19"/>
  <c r="AE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M40" i="1" l="1"/>
  <c r="N40" i="1" s="1"/>
  <c r="M10" i="1"/>
  <c r="N10" i="1" s="1"/>
  <c r="M28" i="1"/>
  <c r="N28" i="1" s="1"/>
  <c r="M22" i="1"/>
  <c r="N22" i="1" s="1"/>
  <c r="M52" i="1"/>
  <c r="N52" i="1" s="1"/>
  <c r="M46" i="1"/>
  <c r="N46" i="1" s="1"/>
  <c r="M34" i="1"/>
  <c r="N34" i="1" s="1"/>
  <c r="M16" i="1"/>
  <c r="N16" i="1" s="1"/>
  <c r="M64" i="1"/>
  <c r="N64" i="1" s="1"/>
  <c r="M58" i="1"/>
  <c r="N58" i="1" s="1"/>
  <c r="X6" i="18" l="1"/>
  <c r="AJ30" i="18"/>
  <c r="R22" i="18"/>
  <c r="L6" i="18"/>
  <c r="R30" i="18"/>
  <c r="X22" i="18"/>
  <c r="X38" i="18"/>
  <c r="AD38" i="18"/>
  <c r="P16" i="1"/>
  <c r="AD22" i="18"/>
  <c r="O16" i="1"/>
  <c r="AD16"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P34" i="1"/>
  <c r="L32" i="18"/>
  <c r="X8" i="18"/>
  <c r="X24" i="18"/>
  <c r="AJ8" i="18"/>
  <c r="O34" i="1"/>
  <c r="R40" i="18"/>
  <c r="L40" i="18"/>
  <c r="X16" i="18"/>
  <c r="L24" i="18"/>
  <c r="AJ24" i="18"/>
  <c r="X32" i="18"/>
  <c r="AJ40" i="18"/>
  <c r="R16" i="18"/>
  <c r="AD40" i="18"/>
  <c r="AD32" i="18"/>
  <c r="AD16" i="18"/>
  <c r="O46" i="1"/>
  <c r="J42" i="18"/>
  <c r="P34" i="18"/>
  <c r="AB18" i="18"/>
  <c r="AB42" i="18"/>
  <c r="AH34" i="18"/>
  <c r="P10" i="18"/>
  <c r="V34" i="18"/>
  <c r="P42" i="18"/>
  <c r="V42" i="18"/>
  <c r="AH42" i="18"/>
  <c r="AB26" i="18"/>
  <c r="AH26" i="18"/>
  <c r="V26" i="18"/>
  <c r="AB34" i="18"/>
  <c r="V10" i="18"/>
  <c r="AH18" i="18"/>
  <c r="J34" i="18"/>
  <c r="J10" i="18"/>
  <c r="AB10" i="18"/>
  <c r="J18" i="18"/>
  <c r="P46" i="1"/>
  <c r="P26" i="18"/>
  <c r="J26" i="18"/>
  <c r="AH10" i="18"/>
  <c r="P18" i="18"/>
  <c r="V18" i="18"/>
  <c r="X42" i="18"/>
  <c r="AD34" i="18"/>
  <c r="AD10" i="18"/>
  <c r="AD26" i="18"/>
  <c r="L10" i="18"/>
  <c r="L42" i="18"/>
  <c r="L26" i="18"/>
  <c r="X18" i="18"/>
  <c r="X34" i="18"/>
  <c r="X10" i="18"/>
  <c r="R18" i="18"/>
  <c r="AJ10" i="18"/>
  <c r="AD42" i="18"/>
  <c r="AJ34" i="18"/>
  <c r="R26" i="18"/>
  <c r="O52" i="1"/>
  <c r="L18" i="18"/>
  <c r="AJ26" i="18"/>
  <c r="AD18" i="18"/>
  <c r="R34" i="18"/>
  <c r="L34" i="18"/>
  <c r="AJ42" i="18"/>
  <c r="R10" i="18"/>
  <c r="R42" i="18"/>
  <c r="X26" i="18"/>
  <c r="AJ18" i="18"/>
  <c r="P52" i="1"/>
  <c r="T14" i="18"/>
  <c r="AL38" i="18"/>
  <c r="N14" i="18"/>
  <c r="Z6" i="18"/>
  <c r="T38" i="18"/>
  <c r="T22" i="18"/>
  <c r="AL14" i="18"/>
  <c r="N22" i="18"/>
  <c r="P22" i="1"/>
  <c r="AF22" i="18"/>
  <c r="N6" i="18"/>
  <c r="AF6" i="18"/>
  <c r="AF38" i="18"/>
  <c r="O22" i="1"/>
  <c r="AD22" i="1" s="1"/>
  <c r="N38" i="18"/>
  <c r="AL30" i="18"/>
  <c r="AL22" i="18"/>
  <c r="T6" i="18"/>
  <c r="AF14" i="18"/>
  <c r="AF30" i="18"/>
  <c r="Z22" i="18"/>
  <c r="T30" i="18"/>
  <c r="Z30" i="18"/>
  <c r="AL6" i="18"/>
  <c r="Z14" i="18"/>
  <c r="Z38" i="18"/>
  <c r="N30" i="18"/>
  <c r="J40" i="18"/>
  <c r="AB40" i="18"/>
  <c r="AH32" i="18"/>
  <c r="AB24" i="18"/>
  <c r="V16" i="18"/>
  <c r="O28" i="1"/>
  <c r="J16" i="18"/>
  <c r="P32" i="18"/>
  <c r="V24" i="18"/>
  <c r="P24" i="18"/>
  <c r="V40" i="18"/>
  <c r="P16" i="18"/>
  <c r="P40" i="18"/>
  <c r="V32" i="18"/>
  <c r="AH16" i="18"/>
  <c r="AB16" i="18"/>
  <c r="V8" i="18"/>
  <c r="AH24" i="18"/>
  <c r="AH8" i="18"/>
  <c r="AH40" i="18"/>
  <c r="J8" i="18"/>
  <c r="AB32" i="18"/>
  <c r="AB8" i="18"/>
  <c r="J24" i="18"/>
  <c r="J32" i="18"/>
  <c r="P8" i="18"/>
  <c r="P28" i="1"/>
  <c r="Z42" i="18"/>
  <c r="T18" i="18"/>
  <c r="AF34" i="18"/>
  <c r="AF42" i="18"/>
  <c r="N42" i="18"/>
  <c r="Z18" i="18"/>
  <c r="AL10" i="18"/>
  <c r="AL26" i="18"/>
  <c r="AF26" i="18"/>
  <c r="Z10" i="18"/>
  <c r="N18" i="18"/>
  <c r="T26" i="18"/>
  <c r="AF10" i="18"/>
  <c r="T34" i="18"/>
  <c r="N26" i="18"/>
  <c r="AL18" i="18"/>
  <c r="N10" i="18"/>
  <c r="AF18" i="18"/>
  <c r="Z26" i="18"/>
  <c r="AL34" i="18"/>
  <c r="O58" i="1"/>
  <c r="Z34" i="18"/>
  <c r="T10" i="18"/>
  <c r="P58" i="1"/>
  <c r="AL42" i="18"/>
  <c r="N34" i="18"/>
  <c r="T42" i="18"/>
  <c r="P14" i="18"/>
  <c r="V22" i="18"/>
  <c r="V14" i="18"/>
  <c r="P22" i="18"/>
  <c r="V38" i="18"/>
  <c r="AH14" i="18"/>
  <c r="AH38" i="18"/>
  <c r="J14" i="18"/>
  <c r="AB22" i="18"/>
  <c r="V30" i="18"/>
  <c r="AB14" i="18"/>
  <c r="AB38" i="18"/>
  <c r="J30" i="18"/>
  <c r="P38" i="18"/>
  <c r="AB6" i="18"/>
  <c r="O10" i="1"/>
  <c r="AD10" i="1" s="1"/>
  <c r="AH30" i="18"/>
  <c r="J38" i="18"/>
  <c r="AH6" i="18"/>
  <c r="V6" i="18"/>
  <c r="AB30" i="18"/>
  <c r="J22" i="18"/>
  <c r="J6" i="18"/>
  <c r="P30" i="18"/>
  <c r="AH22" i="18"/>
  <c r="P6" i="18"/>
  <c r="P10" i="1"/>
  <c r="AH12" i="18"/>
  <c r="J20" i="18"/>
  <c r="J44" i="18"/>
  <c r="AB28" i="18"/>
  <c r="P28" i="18"/>
  <c r="P64" i="1"/>
  <c r="P12" i="18"/>
  <c r="AH20" i="18"/>
  <c r="P44" i="18"/>
  <c r="AB12" i="18"/>
  <c r="P20" i="18"/>
  <c r="J36" i="18"/>
  <c r="P36" i="18"/>
  <c r="AB44" i="18"/>
  <c r="V44" i="18"/>
  <c r="J28" i="18"/>
  <c r="AH36" i="18"/>
  <c r="V12" i="18"/>
  <c r="V28" i="18"/>
  <c r="AH44" i="18"/>
  <c r="AB20" i="18"/>
  <c r="AB36" i="18"/>
  <c r="AH28" i="18"/>
  <c r="V36" i="18"/>
  <c r="V20" i="18"/>
  <c r="O64" i="1"/>
  <c r="AD64" i="1" s="1"/>
  <c r="AC64" i="1" s="1"/>
  <c r="J12" i="18"/>
  <c r="AF24" i="18"/>
  <c r="AF32" i="18"/>
  <c r="T40" i="18"/>
  <c r="O40" i="1"/>
  <c r="Z40" i="18"/>
  <c r="AL8" i="18"/>
  <c r="AF8" i="18"/>
  <c r="T8" i="18"/>
  <c r="Z16" i="18"/>
  <c r="T24" i="18"/>
  <c r="AL24" i="18"/>
  <c r="Z32" i="18"/>
  <c r="N32" i="18"/>
  <c r="N16" i="18"/>
  <c r="Z8" i="18"/>
  <c r="AL40" i="18"/>
  <c r="N8" i="18"/>
  <c r="N24" i="18"/>
  <c r="T32" i="18"/>
  <c r="T16" i="18"/>
  <c r="AF40" i="18"/>
  <c r="AF16" i="18"/>
  <c r="AL32" i="18"/>
  <c r="N40" i="18"/>
  <c r="Z24" i="18"/>
  <c r="AL16" i="18"/>
  <c r="P40" i="1"/>
  <c r="AC16" i="1" l="1"/>
  <c r="AD17" i="1"/>
  <c r="AC17" i="1" s="1"/>
  <c r="AC22" i="1"/>
  <c r="AD23" i="1"/>
  <c r="AC23" i="1" s="1"/>
  <c r="AC10" i="1"/>
  <c r="J6" i="19" s="1"/>
  <c r="AD11" i="1"/>
  <c r="V25" i="19"/>
  <c r="V45" i="19"/>
  <c r="J15" i="19"/>
  <c r="AB45" i="19"/>
  <c r="AH25" i="19"/>
  <c r="AH55" i="19"/>
  <c r="AB15" i="19"/>
  <c r="P15" i="19"/>
  <c r="P45" i="19"/>
  <c r="V15" i="19"/>
  <c r="J35" i="19"/>
  <c r="AH45" i="19"/>
  <c r="J25" i="19"/>
  <c r="AB35" i="19"/>
  <c r="AH15" i="19"/>
  <c r="V35" i="19"/>
  <c r="J55" i="19"/>
  <c r="AB55" i="19"/>
  <c r="AE64" i="1"/>
  <c r="AB25" i="19"/>
  <c r="AH35" i="19"/>
  <c r="P55" i="19"/>
  <c r="J45" i="19"/>
  <c r="P25" i="19"/>
  <c r="P35" i="19"/>
  <c r="V55" i="19"/>
  <c r="AH46" i="19" l="1"/>
  <c r="V46" i="19"/>
  <c r="AE10" i="1"/>
  <c r="V36" i="19"/>
  <c r="AB46" i="19"/>
  <c r="AH6" i="19"/>
  <c r="J36" i="19"/>
  <c r="J46" i="19"/>
  <c r="J26" i="19"/>
  <c r="P36" i="19"/>
  <c r="P6" i="19"/>
  <c r="AH36" i="19"/>
  <c r="P26" i="19"/>
  <c r="P16" i="19"/>
  <c r="V16" i="19"/>
  <c r="V26" i="19"/>
  <c r="J16" i="19"/>
  <c r="AH26" i="19"/>
  <c r="AB6" i="19"/>
  <c r="AB16" i="19"/>
  <c r="AB36" i="19"/>
  <c r="W37" i="19"/>
  <c r="AC37" i="19"/>
  <c r="K7" i="19"/>
  <c r="K27" i="19"/>
  <c r="AI7" i="19"/>
  <c r="AI37" i="19"/>
  <c r="Q17" i="19"/>
  <c r="W17" i="19"/>
  <c r="AE17" i="1"/>
  <c r="K37" i="19"/>
  <c r="W27" i="19"/>
  <c r="AC17" i="19"/>
  <c r="Q47" i="19"/>
  <c r="W7" i="19"/>
  <c r="AC7" i="19"/>
  <c r="AI17" i="19"/>
  <c r="W47" i="19"/>
  <c r="K47" i="19"/>
  <c r="Q37" i="19"/>
  <c r="AI47" i="19"/>
  <c r="AI27" i="19"/>
  <c r="Q27" i="19"/>
  <c r="Q7" i="19"/>
  <c r="AC27" i="19"/>
  <c r="AC47" i="19"/>
  <c r="K17" i="19"/>
  <c r="K18" i="19"/>
  <c r="AI18" i="19"/>
  <c r="Q48" i="19"/>
  <c r="K28" i="19"/>
  <c r="AC48" i="19"/>
  <c r="K38" i="19"/>
  <c r="AC8" i="19"/>
  <c r="AI48" i="19"/>
  <c r="K48" i="19"/>
  <c r="K8" i="19"/>
  <c r="AC38" i="19"/>
  <c r="AC28" i="19"/>
  <c r="AI28" i="19"/>
  <c r="Q38" i="19"/>
  <c r="W18" i="19"/>
  <c r="AI38" i="19"/>
  <c r="W28" i="19"/>
  <c r="W8" i="19"/>
  <c r="Q18" i="19"/>
  <c r="AE23" i="1"/>
  <c r="AC18" i="19"/>
  <c r="AI8" i="19"/>
  <c r="Q28" i="19"/>
  <c r="W38" i="19"/>
  <c r="W48" i="19"/>
  <c r="Q8" i="19"/>
  <c r="AB26" i="19"/>
  <c r="J48" i="19"/>
  <c r="P28" i="19"/>
  <c r="V28" i="19"/>
  <c r="AB38" i="19"/>
  <c r="AH28" i="19"/>
  <c r="P8" i="19"/>
  <c r="P18" i="19"/>
  <c r="AE22" i="1"/>
  <c r="P48" i="19"/>
  <c r="J18" i="19"/>
  <c r="AH8" i="19"/>
  <c r="AH48" i="19"/>
  <c r="J38" i="19"/>
  <c r="AB28" i="19"/>
  <c r="P38" i="19"/>
  <c r="AB18" i="19"/>
  <c r="AH38" i="19"/>
  <c r="V18" i="19"/>
  <c r="AB48" i="19"/>
  <c r="AH18" i="19"/>
  <c r="V8" i="19"/>
  <c r="J28" i="19"/>
  <c r="AB8" i="19"/>
  <c r="V38" i="19"/>
  <c r="V48" i="19"/>
  <c r="J8" i="19"/>
  <c r="V6" i="19"/>
  <c r="P46" i="19"/>
  <c r="AH16" i="19"/>
  <c r="V47" i="19"/>
  <c r="P37" i="19"/>
  <c r="J37" i="19"/>
  <c r="AB17" i="19"/>
  <c r="P7" i="19"/>
  <c r="AE16" i="1"/>
  <c r="J7" i="19"/>
  <c r="AH17" i="19"/>
  <c r="V7" i="19"/>
  <c r="AB37" i="19"/>
  <c r="V37" i="19"/>
  <c r="J27" i="19"/>
  <c r="J47" i="19"/>
  <c r="AH37" i="19"/>
  <c r="AH27" i="19"/>
  <c r="V27" i="19"/>
  <c r="P27" i="19"/>
  <c r="AB47" i="19"/>
  <c r="AH7" i="19"/>
  <c r="AB7" i="19"/>
  <c r="V17" i="19"/>
  <c r="P47" i="19"/>
  <c r="P17" i="19"/>
  <c r="AB27" i="19"/>
  <c r="J17" i="19"/>
  <c r="AH47" i="19"/>
  <c r="AC11" i="1"/>
  <c r="AE11" i="1" s="1"/>
  <c r="AD12" i="1"/>
  <c r="AC12" i="1" s="1"/>
  <c r="Q46" i="19" l="1"/>
  <c r="Q16" i="19"/>
  <c r="Q26" i="19"/>
  <c r="W36" i="19"/>
  <c r="K36" i="19"/>
  <c r="AI36" i="19"/>
  <c r="AI6" i="19"/>
  <c r="K26" i="19"/>
  <c r="W16" i="19"/>
  <c r="AI26" i="19"/>
  <c r="K6" i="19"/>
  <c r="AI46" i="19"/>
  <c r="W46" i="19"/>
  <c r="K46" i="19"/>
  <c r="AC16" i="19"/>
  <c r="AC46" i="19"/>
  <c r="AC26" i="19"/>
  <c r="AI16" i="19"/>
  <c r="W26" i="19"/>
  <c r="K16" i="19"/>
  <c r="W6" i="19"/>
  <c r="Q6" i="19"/>
  <c r="AC6" i="19"/>
  <c r="AC36" i="19"/>
  <c r="Q36" i="19"/>
  <c r="AJ26" i="19"/>
  <c r="AE12" i="1"/>
  <c r="L46" i="19"/>
  <c r="X46" i="19"/>
  <c r="AJ36" i="19"/>
  <c r="X6" i="19"/>
  <c r="X26" i="19"/>
  <c r="R36" i="19"/>
  <c r="X36" i="19"/>
  <c r="R26" i="19"/>
  <c r="AD6" i="19"/>
  <c r="R6" i="19"/>
  <c r="AJ6" i="19"/>
  <c r="L6" i="19"/>
  <c r="R16" i="19"/>
  <c r="AJ16" i="19"/>
  <c r="L36" i="19"/>
  <c r="AD36" i="19"/>
  <c r="L26" i="19"/>
  <c r="R46" i="19"/>
  <c r="AD26" i="19"/>
  <c r="L16" i="19"/>
  <c r="AJ46" i="19"/>
  <c r="AD46" i="19"/>
  <c r="X16" i="19"/>
  <c r="AD16" i="19"/>
  <c r="F11" i="16"/>
  <c r="F10" i="16"/>
  <c r="F9" i="16"/>
  <c r="F8" i="16"/>
  <c r="F7" i="16"/>
  <c r="B223" i="13"/>
  <c r="B222" i="13"/>
</calcChain>
</file>

<file path=xl/comments1.xml><?xml version="1.0" encoding="utf-8"?>
<comments xmlns="http://schemas.openxmlformats.org/spreadsheetml/2006/main">
  <authors>
    <author>tc={E47F6ABD-0105-4436-AADA-E8C72D65F2A6}</author>
    <author>Laura Praxedis Restrepo Monroy</author>
  </authors>
  <commentList>
    <comment ref="E8"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Recordar que estas subcausas son las que causan esa Causa Raíz, y estas son reducidas desde la aplicación del control</t>
        </r>
      </text>
    </comment>
    <comment ref="I10" authorId="1" shapeId="0">
      <text>
        <r>
          <rPr>
            <b/>
            <sz val="9"/>
            <color indexed="81"/>
            <rFont val="Tahoma"/>
            <family val="2"/>
          </rPr>
          <t>Laura Praxedis Restrepo Monroy:</t>
        </r>
        <r>
          <rPr>
            <sz val="9"/>
            <color indexed="81"/>
            <rFont val="Tahoma"/>
            <family val="2"/>
          </rPr>
          <t xml:space="preserve">
La frecuencia tiene que estar relacionada a la actividad del número de transacciones que se hacen en el año</t>
        </r>
      </text>
    </comment>
    <comment ref="I22" authorId="1" shapeId="0">
      <text>
        <r>
          <rPr>
            <b/>
            <sz val="9"/>
            <color indexed="81"/>
            <rFont val="Tahoma"/>
            <family val="2"/>
          </rPr>
          <t>Laura Praxedis Restrepo Monroy:</t>
        </r>
        <r>
          <rPr>
            <sz val="9"/>
            <color indexed="81"/>
            <rFont val="Tahoma"/>
            <family val="2"/>
          </rPr>
          <t xml:space="preserve">
cuantas veces al año se realizan registros contables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<sst xmlns="http://schemas.openxmlformats.org/spreadsheetml/2006/main" count="395" uniqueCount="255">
  <si>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</si>
  <si>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</si>
  <si>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</si>
  <si>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</si>
  <si>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</si>
  <si>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</si>
  <si>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</si>
  <si>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</si>
  <si>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</si>
  <si>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</si>
  <si>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</si>
  <si>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</si>
  <si>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</si>
  <si>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</si>
  <si>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</si>
  <si>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</si>
  <si>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</si>
  <si>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</si>
  <si>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</si>
  <si>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</si>
  <si>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</si>
  <si>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</si>
  <si>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</si>
  <si>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</si>
  <si>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</si>
  <si>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</si>
  <si>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</si>
  <si>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</si>
  <si>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</si>
  <si>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</si>
  <si>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</si>
  <si>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</si>
  <si>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</si>
  <si>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</si>
  <si>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</si>
  <si>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</si>
  <si>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</si>
  <si>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</si>
  <si>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</si>
  <si>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</si>
  <si>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</si>
  <si>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</si>
  <si>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</si>
  <si>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</si>
  <si>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</si>
  <si>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</si>
  <si>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</si>
  <si>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</si>
  <si>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</si>
  <si>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</si>
  <si>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</si>
  <si>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</si>
  <si>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</si>
  <si>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</si>
  <si>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</si>
  <si>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</si>
  <si>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</si>
  <si>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</si>
  <si>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</si>
  <si>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</si>
  <si>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</si>
  <si>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</si>
  <si>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</si>
  <si>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</si>
  <si>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</si>
  <si>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</si>
  <si>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</si>
  <si>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</si>
  <si>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</si>
  <si>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</si>
  <si>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</si>
  <si>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</si>
  <si>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</si>
  <si>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</si>
  <si>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</si>
  <si>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</si>
  <si>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</si>
  <si>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</si>
  <si>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</si>
  <si>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</si>
  <si>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</si>
  <si>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</si>
  <si>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</si>
  <si>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</si>
  <si>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</si>
  <si>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</si>
  <si>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</si>
  <si>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</si>
  <si>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</si>
  <si>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</si>
  <si>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</si>
  <si>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</si>
  <si>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</si>
  <si>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</si>
  <si>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</si>
  <si>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</si>
  <si>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</si>
  <si>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</si>
  <si>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</si>
  <si>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</si>
  <si>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</si>
  <si>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</si>
  <si>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</si>
  <si>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</si>
  <si>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</si>
  <si>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</si>
  <si>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</si>
  <si>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</si>
  <si>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</si>
  <si>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</si>
  <si>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</si>
  <si>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</si>
  <si>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</si>
  <si>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</si>
  <si>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</si>
  <si>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</si>
  <si>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</si>
  <si>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</si>
  <si>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</si>
  <si>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</si>
  <si>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</si>
  <si>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</si>
  <si>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</si>
  <si>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</si>
  <si>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</si>
  <si>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</si>
  <si>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</si>
  <si>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</si>
  <si>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</si>
  <si>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</si>
  <si>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</si>
  <si>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</si>
  <si>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</si>
  <si>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</si>
  <si>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</si>
  <si>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</si>
  <si>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</si>
  <si>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</si>
  <si>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</si>
  <si>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</si>
  <si>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</si>
  <si>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</si>
  <si>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</si>
  <si>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</si>
  <si>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</si>
  <si>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</si>
  <si>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</si>
  <si>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</si>
  <si>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</si>
  <si>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</si>
  <si>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</si>
  <si>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</si>
  <si>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</si>
  <si>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</si>
  <si>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</si>
  <si>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</si>
  <si>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</si>
  <si>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</si>
  <si>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</si>
  <si>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</si>
  <si>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</si>
  <si>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</si>
  <si>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</si>
  <si>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</si>
  <si>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</si>
  <si>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</si>
  <si>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</si>
  <si>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</si>
  <si>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</si>
  <si>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</si>
  <si>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</si>
  <si>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</si>
  <si>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</si>
  <si>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</si>
  <si>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</si>
  <si>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</si>
  <si>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</si>
  <si>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</si>
  <si>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</si>
  <si>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</si>
  <si>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</si>
  <si>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</si>
  <si>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</si>
  <si>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</si>
  <si>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</si>
  <si>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</si>
  <si>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</si>
  <si>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</si>
  <si>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</si>
  <si>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</si>
  <si>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</si>
  <si>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</si>
  <si>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</si>
  <si>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</si>
  <si>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</si>
  <si>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</si>
  <si>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</si>
  <si>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</si>
  <si>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</si>
  <si>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</si>
  <si>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</si>
  <si>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</si>
  <si>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</si>
  <si>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</si>
  <si>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</si>
  <si>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</si>
  <si>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</si>
  <si>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</si>
  <si>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</si>
  <si>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</si>
  <si>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</si>
  <si>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</si>
  <si>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</si>
  <si>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</si>
  <si>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t>
  </si>
  <si>
    <t>Fiscal</t>
  </si>
  <si>
    <t>Daño fiscal</t>
  </si>
  <si>
    <t>Recursos públicos</t>
  </si>
  <si>
    <t>Bienes públicos</t>
  </si>
  <si>
    <t>Intereses patrimoniales de naturaleza pública</t>
  </si>
  <si>
    <t>NO APLICA</t>
  </si>
  <si>
    <t>Efecto Dañoso (fiscal)</t>
  </si>
  <si>
    <t>Económico_Reputacional</t>
  </si>
  <si>
    <t>Corrupción</t>
  </si>
  <si>
    <t>Subcausas de la causa raiz</t>
  </si>
  <si>
    <t>Gestión Financiera</t>
  </si>
  <si>
    <t>Apoyar a las directivas de la Institución en su gestión académica y administrativa,  administrando de manera eficaz, eficiente y efectiva los recursos financieros, con miras al logro de la misión y los planes Institucionales</t>
  </si>
  <si>
    <t>Todos los procesos</t>
  </si>
  <si>
    <t xml:space="preserve">Hallazgos de los organismos de control que surjan sanciones fiscales y pagos de multas, cláusulas penales </t>
  </si>
  <si>
    <r>
      <t xml:space="preserve">
</t>
    </r>
    <r>
      <rPr>
        <sz val="11"/>
        <color rgb="FFFF0000"/>
        <rFont val="Arial Narrow"/>
        <family val="2"/>
      </rPr>
      <t xml:space="preserve">
</t>
    </r>
    <r>
      <rPr>
        <sz val="11"/>
        <color theme="1"/>
        <rFont val="Arial Narrow"/>
        <family val="2"/>
      </rPr>
      <t xml:space="preserve">    Celebración de contratos con clausulas fiscales desfavorables</t>
    </r>
  </si>
  <si>
    <t>Personal no capacitado para la verificación de soportes legales, financieros y estudios previos</t>
  </si>
  <si>
    <t>Asesorar a los contratistas y supervisores de los contratos en las obligaciones establecidas por la normatividad.</t>
  </si>
  <si>
    <t>Diseñar por parte oficina de contratación guía para la realización y gestión de los contratos según normatividad vigente</t>
  </si>
  <si>
    <t>Equivocado o inoportuno  registro del certificado de disponibilidad presupuestal
Posibilidad de afectación reputacional por la recepción de quejas del grupo de valor interno ante errores en el registro del certificado de disponibilidad presupuestal, debido a debilidades en el seguimiento del procedimiento precontractual establecido en la entidad</t>
  </si>
  <si>
    <t>Las áreas involucradas  no resgistran oportunamente la información contable lo que genera estados financieros No razonables
Posibilidad de efecto dañoso sobre el recurso público ante la emisión de un concepto de No Favorabilidad o Abstención de la Contraloría en los estados financieros, debido a la omisión del registro oportuno de la información contable</t>
  </si>
  <si>
    <t>seguimiento por parte de los supervisores de los contratos de acuerdo al objeto del contrato y las cláusulas establecidas.</t>
  </si>
  <si>
    <t>Sensibilización de los procedimientos a seguir en supervisión de un contrato teniendo en cuenta la normatividad vigente</t>
  </si>
  <si>
    <t>Profesional Contratación</t>
  </si>
  <si>
    <t>fallas en la aplicación de los procedimientos definidos para el seguimiento y control.</t>
  </si>
  <si>
    <t xml:space="preserve">                                Debilidades en el Control y seguimiento en la ejecución de los contratos   </t>
  </si>
  <si>
    <t>Fallas en el reporte de la información para generar los Registros de disponibilidad presupuestal</t>
  </si>
  <si>
    <t>Debilidades en la ejecución del procedimiento precontractual establecido en la entidad</t>
  </si>
  <si>
    <t>Hallazgos de los organismos de control que surjan sanciones fiscales y pagos de multas, cláusulas penales</t>
  </si>
  <si>
    <t>Demoras en los registros contables por falta de información de otras areas involucradas</t>
  </si>
  <si>
    <t xml:space="preserve"> Información inoportuna por parte de las áreas generadoras de información</t>
  </si>
  <si>
    <t>Verificación del tercero en la plataforma SIIF con su respectivo certificado de disponibilidad presupuestal y contrato</t>
  </si>
  <si>
    <t>Realizar seguimiento y control en las plataformas SECOP II y Sistema finaciero SIIF la información del tercero previamente a generar el registro presupuestal</t>
  </si>
  <si>
    <t>Coordinador Finaciero y profesional Contratación</t>
  </si>
  <si>
    <t>Circulares externas de SIIF y CHIP donde establece las fechas para la publicación de los estados financieros por parte de las entidades públicas</t>
  </si>
  <si>
    <t>Vicerectora Administrativa</t>
  </si>
  <si>
    <t>Se evidencia actualización y socialización de los procedimientos de Contratación y manual de contratación con su respectivo acto administrativo (Res. 0975 de 2019) con el equipo de trabajo y funcionarios con funciones de supervisores, en la vigencia 2024. Por parte del area de Contratación realiza seguimiento periodicos a los informes y certificaciones de los supervisores de los contratos con el cumplimiento de los requisitos para autorizar el tramite de pago, se evidencia el manual de supervisor Institucional, documento en dispisición para los funcionarios con labores de supervisión</t>
  </si>
  <si>
    <t>Se evidencia manual de contratación de la Institución con acto administrativo (Res. 0975 de 2019) y manual de procedimientos actualizados de "Contratación", adicional se toma referencia la documentación legal del SECOP II, adicional se evidencia las resolución de escalas de honorarios para los contratos de prestación de servicios y certificación de valores  menor cuantía vigencia 2024</t>
  </si>
  <si>
    <t>Se evidencia trazabilidad entre las areas de Finaciera y Contratación en la elaboración de los  resgistros presupuestales, los sistemas se encuentran conectados para el proceso de suscripción y pagos de contratos, no se ha presentado ninguna incosistencia a la fecha del seguimiento</t>
  </si>
  <si>
    <t>Expedir y comunicar circulares internas por parte de la Vicerectoría Administrativa en la cual informa documentos, los responsables y la fechas del reporte de la información de las areas involucradas</t>
  </si>
  <si>
    <t>Se evidencia requerimientos de información por parte del area Contable y Vicerectoría Administrativa a los funcionarios responsables de reportar información financiera teniendo en cuenta las fechas establecidas por la normatividad vigente , se evidencia solicitudes de información para el proceso de reintegro en la plataforma SIIF de los contratos de arrendamiento y solicitud de reclasificación cuenta 589723,  que corresponde a nóminas de catedráticos,  provisión a marzo,  formato de incapacidades, resolución vacaciones a la oficina talento humano, así mismo se evidencia el cumplimiento en el reporte de los estados financieros de la institución en las fechas establecidas por el CHIP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</si>
</sst>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4659260841701"/>
      </left>
      <right style="dashed">
        <color theme="9" tint="-0.24994659260841701"/>
      </right>
      <top style="dashed">
        <color theme="9" tint="-0.24994659260841701"/>
      </top>
      <bottom style="thin">
        <color indexed="64"/>
      </bottom>
      <diagonal/>
    </border>
  </borders>
  <cellStyleXfs count="5">
    <xf numFmtId="0" fontId="0" fillId="0" borderId="0"/>
    <xf numFmtId="9" fontId="14" fillId="0" borderId="0" applyFont="0" applyFill="0" applyBorder="0" applyAlignment="0" applyProtection="0"/>
    <xf numFmtId="0" fontId="47" fillId="0" borderId="0"/>
    <xf numFmtId="0" fontId="48" fillId="0" borderId="0"/>
    <xf numFmtId="0" fontId="5" fillId="0" borderId="0"/>
  </cellStyleXfs>
  <cellXfs count="39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9" fillId="3" borderId="51" xfId="2" applyFont="1" applyFill="1" applyBorder="1"/>
    <xf numFmtId="0" fontId="49" fillId="3" borderId="52" xfId="2" applyFont="1" applyFill="1" applyBorder="1"/>
    <xf numFmtId="0" fontId="49" fillId="3" borderId="53"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34" xfId="0" applyFont="1" applyFill="1" applyBorder="1" applyAlignment="1">
      <alignment horizontal="center" vertical="center" wrapText="1" readingOrder="1"/>
    </xf>
    <xf numFmtId="0" fontId="38" fillId="3" borderId="34" xfId="0" applyFont="1" applyFill="1" applyBorder="1" applyAlignment="1">
      <alignment horizontal="justify" vertical="center" wrapText="1" readingOrder="1"/>
    </xf>
    <xf numFmtId="9" fontId="37" fillId="3" borderId="43" xfId="0" applyNumberFormat="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8" fillId="3" borderId="33"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8" fillId="3" borderId="40" xfId="0" applyFont="1" applyFill="1" applyBorder="1" applyAlignment="1">
      <alignment horizontal="justify" vertical="center" wrapText="1" readingOrder="1"/>
    </xf>
    <xf numFmtId="0" fontId="38" fillId="3" borderId="41" xfId="0" applyFont="1" applyFill="1" applyBorder="1" applyAlignment="1">
      <alignment horizontal="center" vertical="center" wrapText="1" readingOrder="1"/>
    </xf>
    <xf numFmtId="0" fontId="46" fillId="3" borderId="0" xfId="0" applyFont="1" applyFill="1"/>
    <xf numFmtId="0" fontId="37" fillId="15" borderId="45" xfId="0" applyFont="1" applyFill="1" applyBorder="1" applyAlignment="1">
      <alignment horizontal="center" vertical="center" wrapText="1" readingOrder="1"/>
    </xf>
    <xf numFmtId="0" fontId="37" fillId="15" borderId="46"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5" xfId="0" applyFont="1" applyBorder="1" applyAlignment="1" applyProtection="1">
      <alignment vertical="top" wrapText="1"/>
      <protection locked="0"/>
    </xf>
    <xf numFmtId="0" fontId="1" fillId="0" borderId="75" xfId="0" applyFont="1" applyBorder="1" applyAlignment="1" applyProtection="1">
      <alignment vertical="top" wrapText="1"/>
      <protection locked="0"/>
    </xf>
    <xf numFmtId="0" fontId="0" fillId="0" borderId="0" xfId="0" applyAlignment="1">
      <alignment wrapText="1"/>
    </xf>
    <xf numFmtId="14" fontId="1" fillId="0" borderId="2" xfId="0" applyNumberFormat="1" applyFont="1" applyBorder="1" applyAlignment="1" applyProtection="1">
      <alignment horizontal="center" vertical="top" wrapText="1"/>
      <protection locked="0"/>
    </xf>
    <xf numFmtId="0" fontId="55" fillId="3" borderId="64" xfId="2" applyFont="1" applyFill="1" applyBorder="1" applyAlignment="1">
      <alignment horizontal="justify" vertical="center" wrapText="1"/>
    </xf>
    <xf numFmtId="0" fontId="55" fillId="3" borderId="65" xfId="2" applyFont="1" applyFill="1" applyBorder="1" applyAlignment="1">
      <alignment horizontal="justify" vertical="center" wrapText="1"/>
    </xf>
    <xf numFmtId="0" fontId="54" fillId="3" borderId="71" xfId="0" applyFont="1" applyFill="1" applyBorder="1" applyAlignment="1">
      <alignment horizontal="left" vertical="center" wrapText="1"/>
    </xf>
    <xf numFmtId="0" fontId="54" fillId="3" borderId="72" xfId="0" applyFont="1" applyFill="1" applyBorder="1" applyAlignment="1">
      <alignment horizontal="left" vertical="center" wrapText="1"/>
    </xf>
    <xf numFmtId="0" fontId="54" fillId="3" borderId="58" xfId="3" applyFont="1" applyFill="1" applyBorder="1" applyAlignment="1">
      <alignment horizontal="left" vertical="top" wrapText="1" readingOrder="1"/>
    </xf>
    <xf numFmtId="0" fontId="54" fillId="3" borderId="59" xfId="3" applyFont="1" applyFill="1" applyBorder="1" applyAlignment="1">
      <alignment horizontal="left" vertical="top" wrapText="1" readingOrder="1"/>
    </xf>
    <xf numFmtId="0" fontId="55" fillId="3" borderId="60" xfId="2" applyFont="1" applyFill="1" applyBorder="1" applyAlignment="1">
      <alignment horizontal="justify" vertical="center" wrapText="1"/>
    </xf>
    <xf numFmtId="0" fontId="55" fillId="3" borderId="61" xfId="2" applyFont="1" applyFill="1" applyBorder="1" applyAlignment="1">
      <alignment horizontal="justify" vertical="center" wrapText="1"/>
    </xf>
    <xf numFmtId="0" fontId="54" fillId="3" borderId="62" xfId="0" applyFont="1" applyFill="1" applyBorder="1" applyAlignment="1">
      <alignment horizontal="left" vertical="center" wrapText="1"/>
    </xf>
    <xf numFmtId="0" fontId="54" fillId="3" borderId="63" xfId="0" applyFont="1" applyFill="1" applyBorder="1" applyAlignment="1">
      <alignment horizontal="left"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73" xfId="0" applyFont="1" applyFill="1" applyBorder="1" applyAlignment="1">
      <alignment horizontal="left" vertical="center" wrapText="1"/>
    </xf>
    <xf numFmtId="0" fontId="54" fillId="3" borderId="74" xfId="0" applyFont="1" applyFill="1" applyBorder="1" applyAlignment="1">
      <alignment horizontal="left" vertical="center" wrapText="1"/>
    </xf>
    <xf numFmtId="0" fontId="55" fillId="3" borderId="66" xfId="0" applyFont="1" applyFill="1" applyBorder="1" applyAlignment="1">
      <alignment horizontal="justify" vertical="center" wrapText="1"/>
    </xf>
    <xf numFmtId="0" fontId="55" fillId="3" borderId="67" xfId="0" applyFont="1" applyFill="1" applyBorder="1" applyAlignment="1">
      <alignment horizontal="justify" vertical="center" wrapText="1"/>
    </xf>
    <xf numFmtId="0" fontId="50" fillId="14" borderId="48" xfId="2" applyFont="1" applyFill="1" applyBorder="1" applyAlignment="1">
      <alignment horizontal="center" vertical="center" wrapText="1"/>
    </xf>
    <xf numFmtId="0" fontId="50" fillId="14" borderId="49" xfId="2" applyFont="1" applyFill="1" applyBorder="1" applyAlignment="1">
      <alignment horizontal="center" vertical="center" wrapText="1"/>
    </xf>
    <xf numFmtId="0" fontId="50" fillId="14" borderId="50"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8" xfId="2" quotePrefix="1" applyFont="1" applyBorder="1" applyAlignment="1">
      <alignment horizontal="left" vertical="center" wrapText="1"/>
    </xf>
    <xf numFmtId="0" fontId="49" fillId="0" borderId="69" xfId="2" quotePrefix="1" applyFont="1" applyBorder="1" applyAlignment="1">
      <alignment horizontal="left" vertical="center" wrapText="1"/>
    </xf>
    <xf numFmtId="0" fontId="49" fillId="0" borderId="70" xfId="2" quotePrefix="1" applyFont="1" applyBorder="1" applyAlignment="1">
      <alignment horizontal="left" vertical="center" wrapText="1"/>
    </xf>
    <xf numFmtId="0" fontId="51" fillId="3" borderId="51" xfId="2" quotePrefix="1" applyFont="1" applyFill="1" applyBorder="1" applyAlignment="1">
      <alignment horizontal="left" vertical="top" wrapText="1"/>
    </xf>
    <xf numFmtId="0" fontId="52" fillId="3" borderId="52" xfId="2" quotePrefix="1" applyFont="1" applyFill="1" applyBorder="1" applyAlignment="1">
      <alignment horizontal="left" vertical="top" wrapText="1"/>
    </xf>
    <xf numFmtId="0" fontId="52" fillId="3" borderId="53"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54" xfId="3" applyFont="1" applyFill="1" applyBorder="1" applyAlignment="1">
      <alignment horizontal="center" vertical="center" wrapText="1"/>
    </xf>
    <xf numFmtId="0" fontId="54" fillId="14" borderId="55" xfId="3" applyFont="1" applyFill="1" applyBorder="1" applyAlignment="1">
      <alignment horizontal="center" vertical="center" wrapText="1"/>
    </xf>
    <xf numFmtId="0" fontId="54" fillId="14" borderId="56" xfId="2" applyFont="1" applyFill="1" applyBorder="1" applyAlignment="1">
      <alignment horizontal="center" vertical="center"/>
    </xf>
    <xf numFmtId="0" fontId="54"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2" fillId="3" borderId="6"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4" fillId="3" borderId="6" xfId="0" applyFont="1" applyFill="1" applyBorder="1" applyAlignment="1">
      <alignment horizontal="left" vertical="center"/>
    </xf>
    <xf numFmtId="0" fontId="24" fillId="3" borderId="10" xfId="0" applyFont="1" applyFill="1" applyBorder="1" applyAlignment="1">
      <alignment horizontal="left" vertical="center"/>
    </xf>
    <xf numFmtId="0" fontId="24" fillId="3" borderId="7" xfId="0" applyFont="1" applyFill="1" applyBorder="1" applyAlignment="1">
      <alignment horizontal="left" vertical="center"/>
    </xf>
    <xf numFmtId="0" fontId="1" fillId="3" borderId="0" xfId="0" applyFont="1" applyFill="1" applyAlignment="1">
      <alignment horizontal="left"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16" borderId="5"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9" xfId="0" applyFont="1" applyBorder="1" applyAlignment="1">
      <alignment horizontal="center" vertical="center" wrapText="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5" xfId="0" applyFont="1" applyFill="1" applyBorder="1" applyAlignment="1">
      <alignment horizontal="center" vertical="center" wrapText="1" readingOrder="1"/>
    </xf>
    <xf numFmtId="0" fontId="40" fillId="15" borderId="36" xfId="0" applyFont="1" applyFill="1" applyBorder="1" applyAlignment="1">
      <alignment horizontal="center" vertical="center" wrapText="1" readingOrder="1"/>
    </xf>
    <xf numFmtId="0" fontId="40" fillId="15" borderId="47"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4" xfId="0" applyFont="1" applyFill="1" applyBorder="1" applyAlignment="1">
      <alignment horizontal="center" vertical="center" wrapText="1" readingOrder="1"/>
    </xf>
    <xf numFmtId="0" fontId="37" fillId="15" borderId="45" xfId="0" applyFont="1" applyFill="1" applyBorder="1" applyAlignment="1">
      <alignment horizontal="center" vertical="center" wrapText="1" readingOrder="1"/>
    </xf>
    <xf numFmtId="0" fontId="37" fillId="3" borderId="42"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Laura Práxedis Restrepo Monroy" id="{4EF99230-3004-421C-9DBB-4F0C2958512D}" userId="S::lrestrepo@funcionpublica.gov.co::5f055589-68f3-4b04-a49d-431700e7381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3-06-02T19:52:04.43" personId="{4EF99230-3004-421C-9DBB-4F0C2958512D}" id="{E47F6ABD-0105-4436-AADA-E8C72D65F2A6}">
    <text>Recordar que estas subcausas son las que causan esa Causa Raíz, y estas son reducidas desde la aplicación del control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0"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9" t="s">
        <v>166</v>
      </c>
      <c r="C2" s="160"/>
      <c r="D2" s="160"/>
      <c r="E2" s="160"/>
      <c r="F2" s="160"/>
      <c r="G2" s="160"/>
      <c r="H2" s="161"/>
    </row>
    <row r="3" spans="2:8" x14ac:dyDescent="0.25">
      <c r="B3" s="84"/>
      <c r="C3" s="85"/>
      <c r="D3" s="85"/>
      <c r="E3" s="85"/>
      <c r="F3" s="85"/>
      <c r="G3" s="85"/>
      <c r="H3" s="86"/>
    </row>
    <row r="4" spans="2:8" ht="63" customHeight="1" x14ac:dyDescent="0.25">
      <c r="B4" s="162" t="s">
        <v>209</v>
      </c>
      <c r="C4" s="163"/>
      <c r="D4" s="163"/>
      <c r="E4" s="163"/>
      <c r="F4" s="163"/>
      <c r="G4" s="163"/>
      <c r="H4" s="164"/>
    </row>
    <row r="5" spans="2:8" ht="63" customHeight="1" x14ac:dyDescent="0.25">
      <c r="B5" s="165"/>
      <c r="C5" s="166"/>
      <c r="D5" s="166"/>
      <c r="E5" s="166"/>
      <c r="F5" s="166"/>
      <c r="G5" s="166"/>
      <c r="H5" s="167"/>
    </row>
    <row r="6" spans="2:8" ht="16.5" x14ac:dyDescent="0.25">
      <c r="B6" s="168" t="s">
        <v>164</v>
      </c>
      <c r="C6" s="169"/>
      <c r="D6" s="169"/>
      <c r="E6" s="169"/>
      <c r="F6" s="169"/>
      <c r="G6" s="169"/>
      <c r="H6" s="170"/>
    </row>
    <row r="7" spans="2:8" ht="95.25" customHeight="1" x14ac:dyDescent="0.25">
      <c r="B7" s="178" t="s">
        <v>169</v>
      </c>
      <c r="C7" s="179"/>
      <c r="D7" s="179"/>
      <c r="E7" s="179"/>
      <c r="F7" s="179"/>
      <c r="G7" s="179"/>
      <c r="H7" s="180"/>
    </row>
    <row r="8" spans="2:8" ht="16.5" x14ac:dyDescent="0.25">
      <c r="B8" s="120"/>
      <c r="C8" s="121"/>
      <c r="D8" s="121"/>
      <c r="E8" s="121"/>
      <c r="F8" s="121"/>
      <c r="G8" s="121"/>
      <c r="H8" s="122"/>
    </row>
    <row r="9" spans="2:8" ht="16.5" customHeight="1" x14ac:dyDescent="0.25">
      <c r="B9" s="171" t="s">
        <v>202</v>
      </c>
      <c r="C9" s="172"/>
      <c r="D9" s="172"/>
      <c r="E9" s="172"/>
      <c r="F9" s="172"/>
      <c r="G9" s="172"/>
      <c r="H9" s="173"/>
    </row>
    <row r="10" spans="2:8" ht="44.25" customHeight="1" x14ac:dyDescent="0.25">
      <c r="B10" s="171"/>
      <c r="C10" s="172"/>
      <c r="D10" s="172"/>
      <c r="E10" s="172"/>
      <c r="F10" s="172"/>
      <c r="G10" s="172"/>
      <c r="H10" s="173"/>
    </row>
    <row r="11" spans="2:8" ht="15.75" thickBot="1" x14ac:dyDescent="0.3">
      <c r="B11" s="109"/>
      <c r="C11" s="112"/>
      <c r="D11" s="117"/>
      <c r="E11" s="118"/>
      <c r="F11" s="118"/>
      <c r="G11" s="119"/>
      <c r="H11" s="113"/>
    </row>
    <row r="12" spans="2:8" ht="15.75" thickTop="1" x14ac:dyDescent="0.25">
      <c r="B12" s="109"/>
      <c r="C12" s="174" t="s">
        <v>165</v>
      </c>
      <c r="D12" s="175"/>
      <c r="E12" s="176" t="s">
        <v>203</v>
      </c>
      <c r="F12" s="177"/>
      <c r="G12" s="112"/>
      <c r="H12" s="113"/>
    </row>
    <row r="13" spans="2:8" ht="35.25" customHeight="1" x14ac:dyDescent="0.25">
      <c r="B13" s="109"/>
      <c r="C13" s="146" t="s">
        <v>196</v>
      </c>
      <c r="D13" s="147"/>
      <c r="E13" s="148" t="s">
        <v>201</v>
      </c>
      <c r="F13" s="149"/>
      <c r="G13" s="112"/>
      <c r="H13" s="113"/>
    </row>
    <row r="14" spans="2:8" ht="17.25" customHeight="1" x14ac:dyDescent="0.25">
      <c r="B14" s="109"/>
      <c r="C14" s="146" t="s">
        <v>197</v>
      </c>
      <c r="D14" s="147"/>
      <c r="E14" s="148" t="s">
        <v>199</v>
      </c>
      <c r="F14" s="149"/>
      <c r="G14" s="112"/>
      <c r="H14" s="113"/>
    </row>
    <row r="15" spans="2:8" ht="19.5" customHeight="1" x14ac:dyDescent="0.25">
      <c r="B15" s="109"/>
      <c r="C15" s="146" t="s">
        <v>198</v>
      </c>
      <c r="D15" s="147"/>
      <c r="E15" s="148" t="s">
        <v>200</v>
      </c>
      <c r="F15" s="149"/>
      <c r="G15" s="112"/>
      <c r="H15" s="113"/>
    </row>
    <row r="16" spans="2:8" ht="69.75" customHeight="1" x14ac:dyDescent="0.25">
      <c r="B16" s="109"/>
      <c r="C16" s="146" t="s">
        <v>167</v>
      </c>
      <c r="D16" s="147"/>
      <c r="E16" s="148" t="s">
        <v>168</v>
      </c>
      <c r="F16" s="149"/>
      <c r="G16" s="112"/>
      <c r="H16" s="113"/>
    </row>
    <row r="17" spans="2:8" ht="34.5" customHeight="1" x14ac:dyDescent="0.25">
      <c r="B17" s="109"/>
      <c r="C17" s="150" t="s">
        <v>2</v>
      </c>
      <c r="D17" s="151"/>
      <c r="E17" s="142" t="s">
        <v>210</v>
      </c>
      <c r="F17" s="143"/>
      <c r="G17" s="112"/>
      <c r="H17" s="113"/>
    </row>
    <row r="18" spans="2:8" ht="27.75" customHeight="1" x14ac:dyDescent="0.25">
      <c r="B18" s="109"/>
      <c r="C18" s="150" t="s">
        <v>3</v>
      </c>
      <c r="D18" s="151"/>
      <c r="E18" s="142" t="s">
        <v>211</v>
      </c>
      <c r="F18" s="143"/>
      <c r="G18" s="112"/>
      <c r="H18" s="113"/>
    </row>
    <row r="19" spans="2:8" ht="28.5" customHeight="1" x14ac:dyDescent="0.25">
      <c r="B19" s="109"/>
      <c r="C19" s="150" t="s">
        <v>42</v>
      </c>
      <c r="D19" s="151"/>
      <c r="E19" s="142" t="s">
        <v>212</v>
      </c>
      <c r="F19" s="143"/>
      <c r="G19" s="112"/>
      <c r="H19" s="113"/>
    </row>
    <row r="20" spans="2:8" ht="72.75" customHeight="1" x14ac:dyDescent="0.25">
      <c r="B20" s="109"/>
      <c r="C20" s="150" t="s">
        <v>1</v>
      </c>
      <c r="D20" s="151"/>
      <c r="E20" s="142" t="s">
        <v>213</v>
      </c>
      <c r="F20" s="143"/>
      <c r="G20" s="112"/>
      <c r="H20" s="113"/>
    </row>
    <row r="21" spans="2:8" ht="64.5" customHeight="1" x14ac:dyDescent="0.25">
      <c r="B21" s="109"/>
      <c r="C21" s="150" t="s">
        <v>50</v>
      </c>
      <c r="D21" s="151"/>
      <c r="E21" s="142" t="s">
        <v>171</v>
      </c>
      <c r="F21" s="143"/>
      <c r="G21" s="112"/>
      <c r="H21" s="113"/>
    </row>
    <row r="22" spans="2:8" ht="71.25" customHeight="1" x14ac:dyDescent="0.25">
      <c r="B22" s="109"/>
      <c r="C22" s="150" t="s">
        <v>170</v>
      </c>
      <c r="D22" s="151"/>
      <c r="E22" s="142" t="s">
        <v>172</v>
      </c>
      <c r="F22" s="143"/>
      <c r="G22" s="112"/>
      <c r="H22" s="113"/>
    </row>
    <row r="23" spans="2:8" ht="55.5" customHeight="1" x14ac:dyDescent="0.25">
      <c r="B23" s="109"/>
      <c r="C23" s="144" t="s">
        <v>173</v>
      </c>
      <c r="D23" s="145"/>
      <c r="E23" s="142" t="s">
        <v>174</v>
      </c>
      <c r="F23" s="143"/>
      <c r="G23" s="112"/>
      <c r="H23" s="113"/>
    </row>
    <row r="24" spans="2:8" ht="42" customHeight="1" x14ac:dyDescent="0.25">
      <c r="B24" s="109"/>
      <c r="C24" s="144" t="s">
        <v>48</v>
      </c>
      <c r="D24" s="145"/>
      <c r="E24" s="142" t="s">
        <v>175</v>
      </c>
      <c r="F24" s="143"/>
      <c r="G24" s="112"/>
      <c r="H24" s="113"/>
    </row>
    <row r="25" spans="2:8" ht="59.25" customHeight="1" x14ac:dyDescent="0.25">
      <c r="B25" s="109"/>
      <c r="C25" s="144" t="s">
        <v>163</v>
      </c>
      <c r="D25" s="145"/>
      <c r="E25" s="142" t="s">
        <v>176</v>
      </c>
      <c r="F25" s="143"/>
      <c r="G25" s="112"/>
      <c r="H25" s="113"/>
    </row>
    <row r="26" spans="2:8" ht="23.25" customHeight="1" x14ac:dyDescent="0.25">
      <c r="B26" s="109"/>
      <c r="C26" s="144" t="s">
        <v>12</v>
      </c>
      <c r="D26" s="145"/>
      <c r="E26" s="142" t="s">
        <v>177</v>
      </c>
      <c r="F26" s="143"/>
      <c r="G26" s="112"/>
      <c r="H26" s="113"/>
    </row>
    <row r="27" spans="2:8" ht="30.75" customHeight="1" x14ac:dyDescent="0.25">
      <c r="B27" s="109"/>
      <c r="C27" s="144" t="s">
        <v>181</v>
      </c>
      <c r="D27" s="145"/>
      <c r="E27" s="142" t="s">
        <v>178</v>
      </c>
      <c r="F27" s="143"/>
      <c r="G27" s="112"/>
      <c r="H27" s="113"/>
    </row>
    <row r="28" spans="2:8" ht="35.25" customHeight="1" x14ac:dyDescent="0.25">
      <c r="B28" s="109"/>
      <c r="C28" s="144" t="s">
        <v>182</v>
      </c>
      <c r="D28" s="145"/>
      <c r="E28" s="142" t="s">
        <v>179</v>
      </c>
      <c r="F28" s="143"/>
      <c r="G28" s="112"/>
      <c r="H28" s="113"/>
    </row>
    <row r="29" spans="2:8" ht="33" customHeight="1" x14ac:dyDescent="0.25">
      <c r="B29" s="109"/>
      <c r="C29" s="144" t="s">
        <v>182</v>
      </c>
      <c r="D29" s="145"/>
      <c r="E29" s="142" t="s">
        <v>179</v>
      </c>
      <c r="F29" s="143"/>
      <c r="G29" s="112"/>
      <c r="H29" s="113"/>
    </row>
    <row r="30" spans="2:8" ht="30" customHeight="1" x14ac:dyDescent="0.25">
      <c r="B30" s="109"/>
      <c r="C30" s="144" t="s">
        <v>183</v>
      </c>
      <c r="D30" s="145"/>
      <c r="E30" s="142" t="s">
        <v>180</v>
      </c>
      <c r="F30" s="143"/>
      <c r="G30" s="112"/>
      <c r="H30" s="113"/>
    </row>
    <row r="31" spans="2:8" ht="35.25" customHeight="1" x14ac:dyDescent="0.25">
      <c r="B31" s="109"/>
      <c r="C31" s="144" t="s">
        <v>184</v>
      </c>
      <c r="D31" s="145"/>
      <c r="E31" s="142" t="s">
        <v>185</v>
      </c>
      <c r="F31" s="143"/>
      <c r="G31" s="112"/>
      <c r="H31" s="113"/>
    </row>
    <row r="32" spans="2:8" ht="31.5" customHeight="1" x14ac:dyDescent="0.25">
      <c r="B32" s="109"/>
      <c r="C32" s="144" t="s">
        <v>186</v>
      </c>
      <c r="D32" s="145"/>
      <c r="E32" s="142" t="s">
        <v>187</v>
      </c>
      <c r="F32" s="143"/>
      <c r="G32" s="112"/>
      <c r="H32" s="113"/>
    </row>
    <row r="33" spans="2:8" ht="35.25" customHeight="1" x14ac:dyDescent="0.25">
      <c r="B33" s="109"/>
      <c r="C33" s="144" t="s">
        <v>188</v>
      </c>
      <c r="D33" s="145"/>
      <c r="E33" s="142" t="s">
        <v>189</v>
      </c>
      <c r="F33" s="143"/>
      <c r="G33" s="112"/>
      <c r="H33" s="113"/>
    </row>
    <row r="34" spans="2:8" ht="59.25" customHeight="1" x14ac:dyDescent="0.25">
      <c r="B34" s="109"/>
      <c r="C34" s="144" t="s">
        <v>190</v>
      </c>
      <c r="D34" s="145"/>
      <c r="E34" s="142" t="s">
        <v>191</v>
      </c>
      <c r="F34" s="143"/>
      <c r="G34" s="112"/>
      <c r="H34" s="113"/>
    </row>
    <row r="35" spans="2:8" ht="29.25" customHeight="1" x14ac:dyDescent="0.25">
      <c r="B35" s="109"/>
      <c r="C35" s="144" t="s">
        <v>29</v>
      </c>
      <c r="D35" s="145"/>
      <c r="E35" s="142" t="s">
        <v>192</v>
      </c>
      <c r="F35" s="143"/>
      <c r="G35" s="112"/>
      <c r="H35" s="113"/>
    </row>
    <row r="36" spans="2:8" ht="82.5" customHeight="1" x14ac:dyDescent="0.25">
      <c r="B36" s="109"/>
      <c r="C36" s="144" t="s">
        <v>194</v>
      </c>
      <c r="D36" s="145"/>
      <c r="E36" s="142" t="s">
        <v>193</v>
      </c>
      <c r="F36" s="143"/>
      <c r="G36" s="112"/>
      <c r="H36" s="113"/>
    </row>
    <row r="37" spans="2:8" ht="46.5" customHeight="1" x14ac:dyDescent="0.25">
      <c r="B37" s="109"/>
      <c r="C37" s="144" t="s">
        <v>39</v>
      </c>
      <c r="D37" s="145"/>
      <c r="E37" s="142" t="s">
        <v>195</v>
      </c>
      <c r="F37" s="143"/>
      <c r="G37" s="112"/>
      <c r="H37" s="113"/>
    </row>
    <row r="38" spans="2:8" ht="6.75" customHeight="1" thickBot="1" x14ac:dyDescent="0.3">
      <c r="B38" s="109"/>
      <c r="C38" s="155"/>
      <c r="D38" s="156"/>
      <c r="E38" s="157"/>
      <c r="F38" s="158"/>
      <c r="G38" s="112"/>
      <c r="H38" s="113"/>
    </row>
    <row r="39" spans="2:8" ht="15.75" thickTop="1" x14ac:dyDescent="0.25">
      <c r="B39" s="109"/>
      <c r="C39" s="110"/>
      <c r="D39" s="110"/>
      <c r="E39" s="111"/>
      <c r="F39" s="111"/>
      <c r="G39" s="112"/>
      <c r="H39" s="113"/>
    </row>
    <row r="40" spans="2:8" ht="21" customHeight="1" x14ac:dyDescent="0.25">
      <c r="B40" s="152" t="s">
        <v>204</v>
      </c>
      <c r="C40" s="153"/>
      <c r="D40" s="153"/>
      <c r="E40" s="153"/>
      <c r="F40" s="153"/>
      <c r="G40" s="153"/>
      <c r="H40" s="154"/>
    </row>
    <row r="41" spans="2:8" ht="20.25" customHeight="1" x14ac:dyDescent="0.25">
      <c r="B41" s="152" t="s">
        <v>205</v>
      </c>
      <c r="C41" s="153"/>
      <c r="D41" s="153"/>
      <c r="E41" s="153"/>
      <c r="F41" s="153"/>
      <c r="G41" s="153"/>
      <c r="H41" s="154"/>
    </row>
    <row r="42" spans="2:8" ht="20.25" customHeight="1" x14ac:dyDescent="0.25">
      <c r="B42" s="152" t="s">
        <v>206</v>
      </c>
      <c r="C42" s="153"/>
      <c r="D42" s="153"/>
      <c r="E42" s="153"/>
      <c r="F42" s="153"/>
      <c r="G42" s="153"/>
      <c r="H42" s="154"/>
    </row>
    <row r="43" spans="2:8" ht="20.25" customHeight="1" x14ac:dyDescent="0.25">
      <c r="B43" s="152" t="s">
        <v>207</v>
      </c>
      <c r="C43" s="153"/>
      <c r="D43" s="153"/>
      <c r="E43" s="153"/>
      <c r="F43" s="153"/>
      <c r="G43" s="153"/>
      <c r="H43" s="154"/>
    </row>
    <row r="44" spans="2:8" x14ac:dyDescent="0.25">
      <c r="B44" s="152" t="s">
        <v>208</v>
      </c>
      <c r="C44" s="153"/>
      <c r="D44" s="153"/>
      <c r="E44" s="153"/>
      <c r="F44" s="153"/>
      <c r="G44" s="153"/>
      <c r="H44" s="154"/>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72"/>
  <sheetViews>
    <sheetView tabSelected="1" topLeftCell="W7" zoomScaleNormal="100" workbookViewId="0">
      <pane ySplit="3" topLeftCell="A23" activePane="bottomLeft" state="frozen"/>
      <selection activeCell="A7" sqref="A7"/>
      <selection pane="bottomLeft" activeCell="AK23" sqref="AK23"/>
    </sheetView>
  </sheetViews>
  <sheetFormatPr baseColWidth="10" defaultColWidth="11.42578125" defaultRowHeight="16.5" x14ac:dyDescent="0.3"/>
  <cols>
    <col min="1" max="1" width="4" style="2" bestFit="1" customWidth="1"/>
    <col min="2" max="2" width="14.140625" style="2" customWidth="1"/>
    <col min="3" max="3" width="21.42578125" style="2" customWidth="1"/>
    <col min="4" max="5" width="13.140625" style="2" customWidth="1"/>
    <col min="6" max="6" width="16.140625" style="2" customWidth="1"/>
    <col min="7" max="7" width="32.42578125" style="1" customWidth="1"/>
    <col min="8" max="8" width="19" style="5" customWidth="1"/>
    <col min="9" max="9" width="17.85546875" style="1" customWidth="1"/>
    <col min="10" max="10" width="16.5703125" style="1" customWidth="1"/>
    <col min="11" max="11" width="6.28515625" style="1" bestFit="1" customWidth="1"/>
    <col min="12" max="12" width="27.28515625" style="1" bestFit="1" customWidth="1"/>
    <col min="13" max="13" width="30.5703125" style="1" hidden="1" customWidth="1"/>
    <col min="14" max="14" width="17.5703125" style="1" customWidth="1"/>
    <col min="15" max="15" width="6.28515625" style="1" bestFit="1" customWidth="1"/>
    <col min="16" max="16" width="16" style="1" customWidth="1"/>
    <col min="17" max="17" width="5.85546875" style="1" customWidth="1"/>
    <col min="18" max="18" width="31"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38.28515625" style="1" hidden="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x14ac:dyDescent="0.3">
      <c r="A1" s="207" t="s">
        <v>144</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9"/>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10"/>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2"/>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9"/>
      <c r="D3" s="28"/>
      <c r="E3" s="28"/>
      <c r="F3" s="2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184" t="s">
        <v>43</v>
      </c>
      <c r="B4" s="185"/>
      <c r="C4" s="186" t="s">
        <v>225</v>
      </c>
      <c r="D4" s="187"/>
      <c r="E4" s="187"/>
      <c r="F4" s="187"/>
      <c r="G4" s="187"/>
      <c r="H4" s="187"/>
      <c r="I4" s="187"/>
      <c r="J4" s="187"/>
      <c r="K4" s="187"/>
      <c r="L4" s="187"/>
      <c r="M4" s="187"/>
      <c r="N4" s="187"/>
      <c r="O4" s="187"/>
      <c r="P4" s="188"/>
      <c r="Q4" s="189"/>
      <c r="R4" s="189"/>
      <c r="S4" s="189"/>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56.45" customHeight="1" x14ac:dyDescent="0.3">
      <c r="A5" s="184" t="s">
        <v>130</v>
      </c>
      <c r="B5" s="185"/>
      <c r="C5" s="181" t="s">
        <v>226</v>
      </c>
      <c r="D5" s="182"/>
      <c r="E5" s="182"/>
      <c r="F5" s="182"/>
      <c r="G5" s="182"/>
      <c r="H5" s="182"/>
      <c r="I5" s="182"/>
      <c r="J5" s="182"/>
      <c r="K5" s="182"/>
      <c r="L5" s="182"/>
      <c r="M5" s="182"/>
      <c r="N5" s="182"/>
      <c r="O5" s="182"/>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3">
      <c r="A6" s="184" t="s">
        <v>44</v>
      </c>
      <c r="B6" s="185"/>
      <c r="C6" s="181" t="s">
        <v>227</v>
      </c>
      <c r="D6" s="182"/>
      <c r="E6" s="182"/>
      <c r="F6" s="182"/>
      <c r="G6" s="182"/>
      <c r="H6" s="182"/>
      <c r="I6" s="182"/>
      <c r="J6" s="182"/>
      <c r="K6" s="182"/>
      <c r="L6" s="182"/>
      <c r="M6" s="182"/>
      <c r="N6" s="182"/>
      <c r="O6" s="182"/>
      <c r="P6" s="183"/>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13" t="s">
        <v>139</v>
      </c>
      <c r="B7" s="214"/>
      <c r="C7" s="214"/>
      <c r="D7" s="214"/>
      <c r="E7" s="214"/>
      <c r="F7" s="214"/>
      <c r="G7" s="214"/>
      <c r="H7" s="214"/>
      <c r="I7" s="215"/>
      <c r="J7" s="213" t="s">
        <v>140</v>
      </c>
      <c r="K7" s="214"/>
      <c r="L7" s="214"/>
      <c r="M7" s="214"/>
      <c r="N7" s="214"/>
      <c r="O7" s="214"/>
      <c r="P7" s="215"/>
      <c r="Q7" s="213" t="s">
        <v>141</v>
      </c>
      <c r="R7" s="214"/>
      <c r="S7" s="214"/>
      <c r="T7" s="214"/>
      <c r="U7" s="214"/>
      <c r="V7" s="214"/>
      <c r="W7" s="214"/>
      <c r="X7" s="214"/>
      <c r="Y7" s="215"/>
      <c r="Z7" s="213" t="s">
        <v>142</v>
      </c>
      <c r="AA7" s="214"/>
      <c r="AB7" s="214"/>
      <c r="AC7" s="214"/>
      <c r="AD7" s="214"/>
      <c r="AE7" s="214"/>
      <c r="AF7" s="215"/>
      <c r="AG7" s="213" t="s">
        <v>34</v>
      </c>
      <c r="AH7" s="214"/>
      <c r="AI7" s="214"/>
      <c r="AJ7" s="214"/>
      <c r="AK7" s="214"/>
      <c r="AL7" s="215"/>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31" t="s">
        <v>0</v>
      </c>
      <c r="B8" s="233" t="s">
        <v>2</v>
      </c>
      <c r="C8" s="205" t="s">
        <v>221</v>
      </c>
      <c r="D8" s="229" t="s">
        <v>3</v>
      </c>
      <c r="E8" s="234" t="s">
        <v>224</v>
      </c>
      <c r="F8" s="234" t="s">
        <v>42</v>
      </c>
      <c r="G8" s="206" t="s">
        <v>1</v>
      </c>
      <c r="H8" s="228" t="s">
        <v>50</v>
      </c>
      <c r="I8" s="229" t="s">
        <v>135</v>
      </c>
      <c r="J8" s="239" t="s">
        <v>33</v>
      </c>
      <c r="K8" s="240" t="s">
        <v>5</v>
      </c>
      <c r="L8" s="228" t="s">
        <v>87</v>
      </c>
      <c r="M8" s="228" t="s">
        <v>92</v>
      </c>
      <c r="N8" s="242" t="s">
        <v>45</v>
      </c>
      <c r="O8" s="240" t="s">
        <v>5</v>
      </c>
      <c r="P8" s="229" t="s">
        <v>48</v>
      </c>
      <c r="Q8" s="236" t="s">
        <v>11</v>
      </c>
      <c r="R8" s="230" t="s">
        <v>163</v>
      </c>
      <c r="S8" s="228" t="s">
        <v>12</v>
      </c>
      <c r="T8" s="230" t="s">
        <v>8</v>
      </c>
      <c r="U8" s="230"/>
      <c r="V8" s="230"/>
      <c r="W8" s="230"/>
      <c r="X8" s="230"/>
      <c r="Y8" s="230"/>
      <c r="Z8" s="238" t="s">
        <v>138</v>
      </c>
      <c r="AA8" s="238" t="s">
        <v>46</v>
      </c>
      <c r="AB8" s="238" t="s">
        <v>5</v>
      </c>
      <c r="AC8" s="238" t="s">
        <v>47</v>
      </c>
      <c r="AD8" s="238" t="s">
        <v>5</v>
      </c>
      <c r="AE8" s="238" t="s">
        <v>49</v>
      </c>
      <c r="AF8" s="236" t="s">
        <v>29</v>
      </c>
      <c r="AG8" s="230" t="s">
        <v>34</v>
      </c>
      <c r="AH8" s="230" t="s">
        <v>35</v>
      </c>
      <c r="AI8" s="230" t="s">
        <v>36</v>
      </c>
      <c r="AJ8" s="230" t="s">
        <v>38</v>
      </c>
      <c r="AK8" s="230" t="s">
        <v>37</v>
      </c>
      <c r="AL8" s="230"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32"/>
      <c r="B9" s="233"/>
      <c r="C9" s="206"/>
      <c r="D9" s="230"/>
      <c r="E9" s="235"/>
      <c r="F9" s="235"/>
      <c r="G9" s="233"/>
      <c r="H9" s="229"/>
      <c r="I9" s="230"/>
      <c r="J9" s="229"/>
      <c r="K9" s="241"/>
      <c r="L9" s="229"/>
      <c r="M9" s="229"/>
      <c r="N9" s="241"/>
      <c r="O9" s="241"/>
      <c r="P9" s="230"/>
      <c r="Q9" s="237"/>
      <c r="R9" s="230"/>
      <c r="S9" s="229"/>
      <c r="T9" s="7" t="s">
        <v>13</v>
      </c>
      <c r="U9" s="7" t="s">
        <v>17</v>
      </c>
      <c r="V9" s="7" t="s">
        <v>28</v>
      </c>
      <c r="W9" s="7" t="s">
        <v>18</v>
      </c>
      <c r="X9" s="7" t="s">
        <v>21</v>
      </c>
      <c r="Y9" s="7" t="s">
        <v>24</v>
      </c>
      <c r="Z9" s="238"/>
      <c r="AA9" s="238"/>
      <c r="AB9" s="238"/>
      <c r="AC9" s="238"/>
      <c r="AD9" s="238"/>
      <c r="AE9" s="238"/>
      <c r="AF9" s="237"/>
      <c r="AG9" s="230"/>
      <c r="AH9" s="230"/>
      <c r="AI9" s="230"/>
      <c r="AJ9" s="230"/>
      <c r="AK9" s="230"/>
      <c r="AL9" s="230"/>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212.45" customHeight="1" x14ac:dyDescent="0.25">
      <c r="A10" s="199">
        <v>1</v>
      </c>
      <c r="B10" s="190" t="s">
        <v>215</v>
      </c>
      <c r="C10" s="190" t="s">
        <v>217</v>
      </c>
      <c r="D10" s="190" t="s">
        <v>228</v>
      </c>
      <c r="E10" s="139" t="s">
        <v>238</v>
      </c>
      <c r="F10" s="190" t="s">
        <v>239</v>
      </c>
      <c r="G10" s="202" t="s">
        <v>229</v>
      </c>
      <c r="H10" s="190" t="s">
        <v>123</v>
      </c>
      <c r="I10" s="219">
        <v>4</v>
      </c>
      <c r="J10" s="222" t="str">
        <f>IF(I10&lt;=0,"",IF(I10&lt;=2,"Muy Baja",IF(I10&lt;=24,"Baja",IF(I10&lt;=500,"Media",IF(I10&lt;=5000,"Alta","Muy Alta")))))</f>
        <v>Baja</v>
      </c>
      <c r="K10" s="193">
        <f>IF(J10="","",IF(J10="Muy Baja",0.2,IF(J10="Baja",0.4,IF(J10="Media",0.6,IF(J10="Alta",0.8,IF(J10="Muy Alta",1,))))))</f>
        <v>0.4</v>
      </c>
      <c r="L10" s="225" t="s">
        <v>150</v>
      </c>
      <c r="M10" s="193" t="str">
        <f>IF(NOT(ISERROR(MATCH(L10,'Tabla Impacto'!$B$221:$B$223,0))),'Tabla Impacto'!$F$223&amp;"Por favor no seleccionar los criterios de impacto(Afectación Económica o presupuestal y Pérdida Reputacional)",L10)</f>
        <v xml:space="preserve">     Entre 10 y 50 SMLMV </v>
      </c>
      <c r="N10" s="222" t="str">
        <f>IF(OR(M10='Tabla Impacto'!$C$11,M10='Tabla Impacto'!$D$11),"Leve",IF(OR(M10='Tabla Impacto'!$C$12,M10='Tabla Impacto'!$D$12),"Menor",IF(OR(M10='Tabla Impacto'!$C$13,M10='Tabla Impacto'!$D$13),"Moderado",IF(OR(M10='Tabla Impacto'!$C$14,M10='Tabla Impacto'!$D$14),"Mayor",IF(OR(M10='Tabla Impacto'!$C$15,M10='Tabla Impacto'!$D$15),"Catastrófico","")))))</f>
        <v>Menor</v>
      </c>
      <c r="O10" s="193">
        <f>IF(N10="","",IF(N10="Leve",0.2,IF(N10="Menor",0.4,IF(N10="Moderado",0.6,IF(N10="Mayor",0.8,IF(N10="Catastrófico",1,))))))</f>
        <v>0.4</v>
      </c>
      <c r="P10" s="196"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23">
        <v>1</v>
      </c>
      <c r="R10" s="124" t="s">
        <v>235</v>
      </c>
      <c r="S10" s="125" t="str">
        <f>IF(OR(T10="Preventivo",T10="Detectivo"),"Probabilidad",IF(T10="Correctivo","Impacto",""))</f>
        <v>Probabilidad</v>
      </c>
      <c r="T10" s="126" t="s">
        <v>14</v>
      </c>
      <c r="U10" s="126" t="s">
        <v>9</v>
      </c>
      <c r="V10" s="127" t="str">
        <f>IF(AND(T10="Preventivo",U10="Automático"),"50%",IF(AND(T10="Preventivo",U10="Manual"),"40%",IF(AND(T10="Detectivo",U10="Automático"),"40%",IF(AND(T10="Detectivo",U10="Manual"),"30%",IF(AND(T10="Correctivo",U10="Automático"),"35%",IF(AND(T10="Correctivo",U10="Manual"),"25%",""))))))</f>
        <v>40%</v>
      </c>
      <c r="W10" s="126" t="s">
        <v>19</v>
      </c>
      <c r="X10" s="126" t="s">
        <v>22</v>
      </c>
      <c r="Y10" s="126" t="s">
        <v>119</v>
      </c>
      <c r="Z10" s="128">
        <f>IFERROR(IF(S10="Probabilidad",(K10-(+K10*V10)),IF(S10="Impacto",K10,"")),"")</f>
        <v>0.24</v>
      </c>
      <c r="AA10" s="129" t="str">
        <f>IFERROR(IF(Z10="","",IF(Z10&lt;=0.2,"Muy Baja",IF(Z10&lt;=0.4,"Baja",IF(Z10&lt;=0.6,"Media",IF(Z10&lt;=0.8,"Alta","Muy Alta"))))),"")</f>
        <v>Baja</v>
      </c>
      <c r="AB10" s="130">
        <f>+Z10</f>
        <v>0.24</v>
      </c>
      <c r="AC10" s="129" t="str">
        <f>IFERROR(IF(AD10="","",IF(AD10&lt;=0.2,"Leve",IF(AD10&lt;=0.4,"Menor",IF(AD10&lt;=0.6,"Moderado",IF(AD10&lt;=0.8,"Mayor","Catastrófico"))))),"")</f>
        <v>Menor</v>
      </c>
      <c r="AD10" s="130">
        <f>IFERROR(IF(S10="Impacto",(O10-(+O10*V10)),IF(S10="Probabilidad",O10,"")),"")</f>
        <v>0.4</v>
      </c>
      <c r="AE10" s="131"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32"/>
      <c r="AG10" s="133" t="s">
        <v>236</v>
      </c>
      <c r="AH10" s="134" t="s">
        <v>237</v>
      </c>
      <c r="AI10" s="141">
        <v>45657</v>
      </c>
      <c r="AJ10" s="135">
        <v>45539</v>
      </c>
      <c r="AK10" s="133" t="s">
        <v>250</v>
      </c>
      <c r="AL10" s="134" t="s">
        <v>41</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51.5" customHeight="1" x14ac:dyDescent="0.3">
      <c r="A11" s="200"/>
      <c r="B11" s="191"/>
      <c r="C11" s="191"/>
      <c r="D11" s="191"/>
      <c r="E11" s="139" t="s">
        <v>230</v>
      </c>
      <c r="F11" s="191"/>
      <c r="G11" s="203"/>
      <c r="H11" s="191"/>
      <c r="I11" s="220"/>
      <c r="J11" s="223"/>
      <c r="K11" s="194"/>
      <c r="L11" s="226"/>
      <c r="M11" s="194">
        <f ca="1">IF(NOT(ISERROR(MATCH(L11,_xlfn.ANCHORARRAY(G22),0))),K24&amp;"Por favor no seleccionar los criterios de impacto",L11)</f>
        <v>0</v>
      </c>
      <c r="N11" s="223"/>
      <c r="O11" s="194"/>
      <c r="P11" s="197"/>
      <c r="Q11" s="123">
        <v>2</v>
      </c>
      <c r="R11" s="124" t="s">
        <v>231</v>
      </c>
      <c r="S11" s="125" t="str">
        <f>IF(OR(T11="Preventivo",T11="Detectivo"),"Probabilidad",IF(T11="Correctivo","Impacto",""))</f>
        <v>Probabilidad</v>
      </c>
      <c r="T11" s="126" t="s">
        <v>14</v>
      </c>
      <c r="U11" s="126" t="s">
        <v>9</v>
      </c>
      <c r="V11" s="127" t="str">
        <f t="shared" ref="V11:V15" si="0">IF(AND(T11="Preventivo",U11="Automático"),"50%",IF(AND(T11="Preventivo",U11="Manual"),"40%",IF(AND(T11="Detectivo",U11="Automático"),"40%",IF(AND(T11="Detectivo",U11="Manual"),"30%",IF(AND(T11="Correctivo",U11="Automático"),"35%",IF(AND(T11="Correctivo",U11="Manual"),"25%",""))))))</f>
        <v>40%</v>
      </c>
      <c r="W11" s="126" t="s">
        <v>19</v>
      </c>
      <c r="X11" s="126" t="s">
        <v>22</v>
      </c>
      <c r="Y11" s="126" t="s">
        <v>119</v>
      </c>
      <c r="Z11" s="128">
        <f>IFERROR(IF(AND(S10="Probabilidad",S11="Probabilidad"),(AB10-(+AB10*V11)),IF(S11="Probabilidad",(K10-(+K10*V11)),IF(S11="Impacto",AB10,""))),"")</f>
        <v>0.14399999999999999</v>
      </c>
      <c r="AA11" s="129" t="str">
        <f t="shared" ref="AA11:AA69" si="1">IFERROR(IF(Z11="","",IF(Z11&lt;=0.2,"Muy Baja",IF(Z11&lt;=0.4,"Baja",IF(Z11&lt;=0.6,"Media",IF(Z11&lt;=0.8,"Alta","Muy Alta"))))),"")</f>
        <v>Muy Baja</v>
      </c>
      <c r="AB11" s="130">
        <f t="shared" ref="AB11:AB15" si="2">+Z11</f>
        <v>0.14399999999999999</v>
      </c>
      <c r="AC11" s="129" t="str">
        <f t="shared" ref="AC11:AC69" si="3">IFERROR(IF(AD11="","",IF(AD11&lt;=0.2,"Leve",IF(AD11&lt;=0.4,"Menor",IF(AD11&lt;=0.6,"Moderado",IF(AD11&lt;=0.8,"Mayor","Catastrófico"))))),"")</f>
        <v>Menor</v>
      </c>
      <c r="AD11" s="130">
        <f>IFERROR(IF(AND(S10="Impacto",S11="Impacto"),(AD10-(+AD10*V11)),IF(S11="Impacto",(O10-(+O10*V11)),IF(S11="Probabilidad",AD10,""))),"")</f>
        <v>0.4</v>
      </c>
      <c r="AE11" s="131" t="str">
        <f t="shared" ref="AE11:AE15"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Bajo</v>
      </c>
      <c r="AF11" s="132"/>
      <c r="AG11" s="133" t="s">
        <v>232</v>
      </c>
      <c r="AH11" s="134" t="s">
        <v>237</v>
      </c>
      <c r="AI11" s="141">
        <v>45657</v>
      </c>
      <c r="AJ11" s="135">
        <v>45539</v>
      </c>
      <c r="AK11" s="133" t="s">
        <v>251</v>
      </c>
      <c r="AL11" s="134" t="s">
        <v>41</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51.5" customHeight="1" x14ac:dyDescent="0.3">
      <c r="A12" s="200"/>
      <c r="B12" s="191"/>
      <c r="C12" s="191"/>
      <c r="D12" s="191"/>
      <c r="E12" s="139"/>
      <c r="F12" s="191"/>
      <c r="G12" s="203"/>
      <c r="H12" s="191"/>
      <c r="I12" s="220"/>
      <c r="J12" s="223"/>
      <c r="K12" s="194"/>
      <c r="L12" s="226"/>
      <c r="M12" s="194">
        <f>IF(NOT(ISERROR(MATCH(L12,_xlfn.ANCHORARRAY(G23),0))),K25&amp;"Por favor no seleccionar los criterios de impacto",L12)</f>
        <v>0</v>
      </c>
      <c r="N12" s="223"/>
      <c r="O12" s="194"/>
      <c r="P12" s="197"/>
      <c r="Q12" s="123">
        <v>3</v>
      </c>
      <c r="R12" s="136"/>
      <c r="S12" s="125" t="str">
        <f>IF(OR(T12="Preventivo",T12="Detectivo"),"Probabilidad",IF(T12="Correctivo","Impacto",""))</f>
        <v/>
      </c>
      <c r="T12" s="126"/>
      <c r="U12" s="126"/>
      <c r="V12" s="127" t="str">
        <f t="shared" si="0"/>
        <v/>
      </c>
      <c r="W12" s="126"/>
      <c r="X12" s="126"/>
      <c r="Y12" s="126"/>
      <c r="Z12" s="128" t="str">
        <f>IFERROR(IF(AND(S11="Probabilidad",S12="Probabilidad"),(AB11-(+AB11*V12)),IF(AND(S11="Impacto",S12="Probabilidad"),(AB10-(+AB10*V12)),IF(S12="Impacto",AB11,""))),"")</f>
        <v/>
      </c>
      <c r="AA12" s="129" t="str">
        <f t="shared" si="1"/>
        <v/>
      </c>
      <c r="AB12" s="130" t="str">
        <f t="shared" si="2"/>
        <v/>
      </c>
      <c r="AC12" s="129" t="str">
        <f t="shared" si="3"/>
        <v/>
      </c>
      <c r="AD12" s="130" t="str">
        <f>IFERROR(IF(AND(S11="Impacto",S12="Impacto"),(AD11-(+AD11*V12)),IF(AND(S11="Probabilidad",S12="Impacto"),(AD10-(+AD10*V12)),IF(S12="Probabilidad",AD11,""))),"")</f>
        <v/>
      </c>
      <c r="AE12" s="131" t="str">
        <f t="shared" si="4"/>
        <v/>
      </c>
      <c r="AF12" s="132"/>
      <c r="AG12" s="133"/>
      <c r="AH12" s="134"/>
      <c r="AI12" s="135"/>
      <c r="AJ12" s="135"/>
      <c r="AK12" s="133"/>
      <c r="AL12" s="134"/>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51.5" customHeight="1" x14ac:dyDescent="0.3">
      <c r="A13" s="200"/>
      <c r="B13" s="191"/>
      <c r="C13" s="191"/>
      <c r="D13" s="191"/>
      <c r="E13" s="139"/>
      <c r="F13" s="191"/>
      <c r="G13" s="203"/>
      <c r="H13" s="191"/>
      <c r="I13" s="220"/>
      <c r="J13" s="223"/>
      <c r="K13" s="194"/>
      <c r="L13" s="226"/>
      <c r="M13" s="194">
        <f>IF(NOT(ISERROR(MATCH(L13,_xlfn.ANCHORARRAY(G24),0))),K26&amp;"Por favor no seleccionar los criterios de impacto",L13)</f>
        <v>0</v>
      </c>
      <c r="N13" s="223"/>
      <c r="O13" s="194"/>
      <c r="P13" s="197"/>
      <c r="Q13" s="123">
        <v>4</v>
      </c>
      <c r="R13" s="124"/>
      <c r="S13" s="125" t="str">
        <f t="shared" ref="S13:S15" si="5">IF(OR(T13="Preventivo",T13="Detectivo"),"Probabilidad",IF(T13="Correctivo","Impacto",""))</f>
        <v/>
      </c>
      <c r="T13" s="126"/>
      <c r="U13" s="126"/>
      <c r="V13" s="127" t="str">
        <f t="shared" si="0"/>
        <v/>
      </c>
      <c r="W13" s="126"/>
      <c r="X13" s="126"/>
      <c r="Y13" s="126"/>
      <c r="Z13" s="128" t="str">
        <f t="shared" ref="Z13:Z15" si="6">IFERROR(IF(AND(S12="Probabilidad",S13="Probabilidad"),(AB12-(+AB12*V13)),IF(AND(S12="Impacto",S13="Probabilidad"),(AB11-(+AB11*V13)),IF(S13="Impacto",AB12,""))),"")</f>
        <v/>
      </c>
      <c r="AA13" s="129" t="str">
        <f t="shared" si="1"/>
        <v/>
      </c>
      <c r="AB13" s="130" t="str">
        <f t="shared" si="2"/>
        <v/>
      </c>
      <c r="AC13" s="129" t="str">
        <f t="shared" si="3"/>
        <v/>
      </c>
      <c r="AD13" s="130" t="str">
        <f t="shared" ref="AD13:AD15" si="7">IFERROR(IF(AND(S12="Impacto",S13="Impacto"),(AD12-(+AD12*V13)),IF(AND(S12="Probabilidad",S13="Impacto"),(AD11-(+AD11*V13)),IF(S13="Probabilidad",AD12,""))),"")</f>
        <v/>
      </c>
      <c r="AE13" s="131"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32"/>
      <c r="AG13" s="133"/>
      <c r="AH13" s="134"/>
      <c r="AI13" s="135"/>
      <c r="AJ13" s="135"/>
      <c r="AK13" s="133"/>
      <c r="AL13" s="134"/>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51.5" customHeight="1" x14ac:dyDescent="0.3">
      <c r="A14" s="200"/>
      <c r="B14" s="191"/>
      <c r="C14" s="191"/>
      <c r="D14" s="191"/>
      <c r="E14" s="139"/>
      <c r="F14" s="191"/>
      <c r="G14" s="203"/>
      <c r="H14" s="191"/>
      <c r="I14" s="220"/>
      <c r="J14" s="223"/>
      <c r="K14" s="194"/>
      <c r="L14" s="226"/>
      <c r="M14" s="194">
        <f>IF(NOT(ISERROR(MATCH(L14,_xlfn.ANCHORARRAY(G25),0))),K27&amp;"Por favor no seleccionar los criterios de impacto",L14)</f>
        <v>0</v>
      </c>
      <c r="N14" s="223"/>
      <c r="O14" s="194"/>
      <c r="P14" s="197"/>
      <c r="Q14" s="123">
        <v>5</v>
      </c>
      <c r="R14" s="124"/>
      <c r="S14" s="125" t="str">
        <f t="shared" si="5"/>
        <v/>
      </c>
      <c r="T14" s="126"/>
      <c r="U14" s="126"/>
      <c r="V14" s="127" t="str">
        <f t="shared" si="0"/>
        <v/>
      </c>
      <c r="W14" s="126"/>
      <c r="X14" s="126"/>
      <c r="Y14" s="126"/>
      <c r="Z14" s="128" t="str">
        <f t="shared" si="6"/>
        <v/>
      </c>
      <c r="AA14" s="129" t="str">
        <f t="shared" si="1"/>
        <v/>
      </c>
      <c r="AB14" s="130" t="str">
        <f t="shared" si="2"/>
        <v/>
      </c>
      <c r="AC14" s="129" t="str">
        <f t="shared" si="3"/>
        <v/>
      </c>
      <c r="AD14" s="130" t="str">
        <f t="shared" si="7"/>
        <v/>
      </c>
      <c r="AE14" s="131" t="str">
        <f t="shared" si="4"/>
        <v/>
      </c>
      <c r="AF14" s="132"/>
      <c r="AG14" s="133"/>
      <c r="AH14" s="134"/>
      <c r="AI14" s="135"/>
      <c r="AJ14" s="135"/>
      <c r="AK14" s="133"/>
      <c r="AL14" s="134"/>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51.5" customHeight="1" x14ac:dyDescent="0.3">
      <c r="A15" s="201"/>
      <c r="B15" s="192"/>
      <c r="C15" s="192"/>
      <c r="D15" s="192"/>
      <c r="E15" s="138"/>
      <c r="F15" s="192"/>
      <c r="G15" s="204"/>
      <c r="H15" s="192"/>
      <c r="I15" s="221"/>
      <c r="J15" s="224"/>
      <c r="K15" s="195"/>
      <c r="L15" s="227"/>
      <c r="M15" s="195">
        <f>IF(NOT(ISERROR(MATCH(L15,_xlfn.ANCHORARRAY(G26),0))),K28&amp;"Por favor no seleccionar los criterios de impacto",L15)</f>
        <v>0</v>
      </c>
      <c r="N15" s="224"/>
      <c r="O15" s="195"/>
      <c r="P15" s="198"/>
      <c r="Q15" s="123">
        <v>6</v>
      </c>
      <c r="R15" s="124"/>
      <c r="S15" s="125" t="str">
        <f t="shared" si="5"/>
        <v/>
      </c>
      <c r="T15" s="126"/>
      <c r="U15" s="126"/>
      <c r="V15" s="127" t="str">
        <f t="shared" si="0"/>
        <v/>
      </c>
      <c r="W15" s="126"/>
      <c r="X15" s="126"/>
      <c r="Y15" s="126"/>
      <c r="Z15" s="128" t="str">
        <f t="shared" si="6"/>
        <v/>
      </c>
      <c r="AA15" s="129" t="str">
        <f t="shared" si="1"/>
        <v/>
      </c>
      <c r="AB15" s="130" t="str">
        <f t="shared" si="2"/>
        <v/>
      </c>
      <c r="AC15" s="129" t="str">
        <f t="shared" si="3"/>
        <v/>
      </c>
      <c r="AD15" s="130" t="str">
        <f t="shared" si="7"/>
        <v/>
      </c>
      <c r="AE15" s="131" t="str">
        <f t="shared" si="4"/>
        <v/>
      </c>
      <c r="AF15" s="132"/>
      <c r="AG15" s="133"/>
      <c r="AH15" s="134"/>
      <c r="AI15" s="135"/>
      <c r="AJ15" s="135"/>
      <c r="AK15" s="133"/>
      <c r="AL15" s="134"/>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82.25" customHeight="1" x14ac:dyDescent="0.3">
      <c r="A16" s="199">
        <v>2</v>
      </c>
      <c r="B16" s="190" t="s">
        <v>132</v>
      </c>
      <c r="C16" s="190" t="s">
        <v>220</v>
      </c>
      <c r="D16" s="190" t="s">
        <v>228</v>
      </c>
      <c r="E16" s="139" t="s">
        <v>240</v>
      </c>
      <c r="F16" s="190" t="s">
        <v>241</v>
      </c>
      <c r="G16" s="202" t="s">
        <v>233</v>
      </c>
      <c r="H16" s="190" t="s">
        <v>123</v>
      </c>
      <c r="I16" s="219">
        <v>4</v>
      </c>
      <c r="J16" s="222" t="str">
        <f>IF(I16&lt;=0,"",IF(I16&lt;=2,"Muy Baja",IF(I16&lt;=24,"Baja",IF(I16&lt;=500,"Media",IF(I16&lt;=5000,"Alta","Muy Alta")))))</f>
        <v>Baja</v>
      </c>
      <c r="K16" s="193">
        <f>IF(J16="","",IF(J16="Muy Baja",0.2,IF(J16="Baja",0.4,IF(J16="Media",0.6,IF(J16="Alta",0.8,IF(J16="Muy Alta",1,))))))</f>
        <v>0.4</v>
      </c>
      <c r="L16" s="225" t="s">
        <v>151</v>
      </c>
      <c r="M16" s="193" t="str">
        <f>IF(NOT(ISERROR(MATCH(L16,'Tabla Impacto'!$B$221:$B$223,0))),'Tabla Impacto'!$F$223&amp;"Por favor no seleccionar los criterios de impacto(Afectación Económica o presupuestal y Pérdida Reputacional)",L16)</f>
        <v xml:space="preserve">     Entre 100 y 500 SMLMV </v>
      </c>
      <c r="N16" s="222" t="str">
        <f>IF(OR(M16='Tabla Impacto'!$C$11,M16='Tabla Impacto'!$D$11),"Leve",IF(OR(M16='Tabla Impacto'!$C$12,M16='Tabla Impacto'!$D$12),"Menor",IF(OR(M16='Tabla Impacto'!$C$13,M16='Tabla Impacto'!$D$13),"Moderado",IF(OR(M16='Tabla Impacto'!$C$14,M16='Tabla Impacto'!$D$14),"Mayor",IF(OR(M16='Tabla Impacto'!$C$15,M16='Tabla Impacto'!$D$15),"Catastrófico","")))))</f>
        <v>Mayor</v>
      </c>
      <c r="O16" s="193">
        <f>IF(N16="","",IF(N16="Leve",0.2,IF(N16="Menor",0.4,IF(N16="Moderado",0.6,IF(N16="Mayor",0.8,IF(N16="Catastrófico",1,))))))</f>
        <v>0.8</v>
      </c>
      <c r="P16" s="196"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Alto</v>
      </c>
      <c r="Q16" s="123">
        <v>1</v>
      </c>
      <c r="R16" s="124" t="s">
        <v>245</v>
      </c>
      <c r="S16" s="125" t="str">
        <f>IF(OR(T16="Preventivo",T16="Detectivo"),"Probabilidad",IF(T16="Correctivo","Impacto",""))</f>
        <v>Probabilidad</v>
      </c>
      <c r="T16" s="126" t="s">
        <v>14</v>
      </c>
      <c r="U16" s="126" t="s">
        <v>9</v>
      </c>
      <c r="V16" s="127" t="str">
        <f>IF(AND(T16="Preventivo",U16="Automático"),"50%",IF(AND(T16="Preventivo",U16="Manual"),"40%",IF(AND(T16="Detectivo",U16="Automático"),"40%",IF(AND(T16="Detectivo",U16="Manual"),"30%",IF(AND(T16="Correctivo",U16="Automático"),"35%",IF(AND(T16="Correctivo",U16="Manual"),"25%",""))))))</f>
        <v>40%</v>
      </c>
      <c r="W16" s="126" t="s">
        <v>19</v>
      </c>
      <c r="X16" s="126" t="s">
        <v>22</v>
      </c>
      <c r="Y16" s="126" t="s">
        <v>119</v>
      </c>
      <c r="Z16" s="128">
        <f>IFERROR(IF(S16="Probabilidad",(K16-(+K16*V16)),IF(S16="Impacto",K16,"")),"")</f>
        <v>0.24</v>
      </c>
      <c r="AA16" s="129" t="str">
        <f>IFERROR(IF(Z16="","",IF(Z16&lt;=0.2,"Muy Baja",IF(Z16&lt;=0.4,"Baja",IF(Z16&lt;=0.6,"Media",IF(Z16&lt;=0.8,"Alta","Muy Alta"))))),"")</f>
        <v>Baja</v>
      </c>
      <c r="AB16" s="130">
        <f>+Z16</f>
        <v>0.24</v>
      </c>
      <c r="AC16" s="129" t="str">
        <f>IFERROR(IF(AD16="","",IF(AD16&lt;=0.2,"Leve",IF(AD16&lt;=0.4,"Menor",IF(AD16&lt;=0.6,"Moderado",IF(AD16&lt;=0.8,"Mayor","Catastrófico"))))),"")</f>
        <v>Mayor</v>
      </c>
      <c r="AD16" s="130">
        <f>IFERROR(IF(S16="Impacto",(O16-(+O16*V16)),IF(S16="Probabilidad",O16,"")),"")</f>
        <v>0.8</v>
      </c>
      <c r="AE16" s="131"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Alto</v>
      </c>
      <c r="AF16" s="132" t="s">
        <v>136</v>
      </c>
      <c r="AG16" s="133" t="s">
        <v>246</v>
      </c>
      <c r="AH16" s="133" t="s">
        <v>247</v>
      </c>
      <c r="AI16" s="135">
        <v>45657</v>
      </c>
      <c r="AJ16" s="135">
        <v>45539</v>
      </c>
      <c r="AK16" s="133" t="s">
        <v>252</v>
      </c>
      <c r="AL16" s="134" t="s">
        <v>41</v>
      </c>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1.5" customHeight="1" x14ac:dyDescent="0.3">
      <c r="A17" s="200"/>
      <c r="B17" s="191"/>
      <c r="C17" s="191"/>
      <c r="D17" s="191"/>
      <c r="E17" s="139"/>
      <c r="F17" s="191"/>
      <c r="G17" s="203"/>
      <c r="H17" s="191"/>
      <c r="I17" s="220"/>
      <c r="J17" s="223"/>
      <c r="K17" s="194"/>
      <c r="L17" s="226"/>
      <c r="M17" s="194">
        <f>IF(NOT(ISERROR(MATCH(L17,_xlfn.ANCHORARRAY(G28),0))),K30&amp;"Por favor no seleccionar los criterios de impacto",L17)</f>
        <v>0</v>
      </c>
      <c r="N17" s="223"/>
      <c r="O17" s="194"/>
      <c r="P17" s="197"/>
      <c r="Q17" s="123">
        <v>2</v>
      </c>
      <c r="R17" s="124"/>
      <c r="S17" s="125" t="str">
        <f>IF(OR(T17="Preventivo",T17="Detectivo"),"Probabilidad",IF(T17="Correctivo","Impacto",""))</f>
        <v/>
      </c>
      <c r="T17" s="126"/>
      <c r="U17" s="126"/>
      <c r="V17" s="127" t="str">
        <f t="shared" ref="V17:V21" si="8">IF(AND(T17="Preventivo",U17="Automático"),"50%",IF(AND(T17="Preventivo",U17="Manual"),"40%",IF(AND(T17="Detectivo",U17="Automático"),"40%",IF(AND(T17="Detectivo",U17="Manual"),"30%",IF(AND(T17="Correctivo",U17="Automático"),"35%",IF(AND(T17="Correctivo",U17="Manual"),"25%",""))))))</f>
        <v/>
      </c>
      <c r="W17" s="126"/>
      <c r="X17" s="126"/>
      <c r="Y17" s="126"/>
      <c r="Z17" s="128" t="str">
        <f>IFERROR(IF(AND(S16="Probabilidad",S17="Probabilidad"),(AB16-(+AB16*V17)),IF(S17="Probabilidad",(K16-(+K16*V17)),IF(S17="Impacto",AB16,""))),"")</f>
        <v/>
      </c>
      <c r="AA17" s="129" t="str">
        <f t="shared" si="1"/>
        <v/>
      </c>
      <c r="AB17" s="130" t="str">
        <f t="shared" ref="AB17:AB21" si="9">+Z17</f>
        <v/>
      </c>
      <c r="AC17" s="129" t="str">
        <f t="shared" si="3"/>
        <v/>
      </c>
      <c r="AD17" s="130" t="str">
        <f>IFERROR(IF(AND(S16="Impacto",S17="Impacto"),(AD16-(+AD16*V17)),IF(S17="Impacto",(O16-(+O16*V17)),IF(S17="Probabilidad",AD16,""))),"")</f>
        <v/>
      </c>
      <c r="AE17" s="131" t="str">
        <f t="shared" ref="AE17:AE18" si="10">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32"/>
      <c r="AG17" s="133"/>
      <c r="AH17" s="134"/>
      <c r="AI17" s="135"/>
      <c r="AJ17" s="135"/>
      <c r="AK17" s="133"/>
      <c r="AL17" s="13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51.5" customHeight="1" x14ac:dyDescent="0.3">
      <c r="A18" s="200"/>
      <c r="B18" s="191"/>
      <c r="C18" s="191"/>
      <c r="D18" s="191"/>
      <c r="E18" s="139"/>
      <c r="F18" s="191"/>
      <c r="G18" s="203"/>
      <c r="H18" s="191"/>
      <c r="I18" s="220"/>
      <c r="J18" s="223"/>
      <c r="K18" s="194"/>
      <c r="L18" s="226"/>
      <c r="M18" s="194">
        <f>IF(NOT(ISERROR(MATCH(L18,_xlfn.ANCHORARRAY(G29),0))),K31&amp;"Por favor no seleccionar los criterios de impacto",L18)</f>
        <v>0</v>
      </c>
      <c r="N18" s="223"/>
      <c r="O18" s="194"/>
      <c r="P18" s="197"/>
      <c r="Q18" s="123">
        <v>3</v>
      </c>
      <c r="R18" s="136"/>
      <c r="S18" s="125" t="str">
        <f>IF(OR(T18="Preventivo",T18="Detectivo"),"Probabilidad",IF(T18="Correctivo","Impacto",""))</f>
        <v/>
      </c>
      <c r="T18" s="126"/>
      <c r="U18" s="126"/>
      <c r="V18" s="127" t="str">
        <f t="shared" si="8"/>
        <v/>
      </c>
      <c r="W18" s="126"/>
      <c r="X18" s="126"/>
      <c r="Y18" s="126"/>
      <c r="Z18" s="128" t="str">
        <f>IFERROR(IF(AND(S17="Probabilidad",S18="Probabilidad"),(AB17-(+AB17*V18)),IF(AND(S17="Impacto",S18="Probabilidad"),(AB16-(+AB16*V18)),IF(S18="Impacto",AB17,""))),"")</f>
        <v/>
      </c>
      <c r="AA18" s="129" t="str">
        <f t="shared" si="1"/>
        <v/>
      </c>
      <c r="AB18" s="130" t="str">
        <f t="shared" si="9"/>
        <v/>
      </c>
      <c r="AC18" s="129" t="str">
        <f t="shared" si="3"/>
        <v/>
      </c>
      <c r="AD18" s="130" t="str">
        <f>IFERROR(IF(AND(S17="Impacto",S18="Impacto"),(AD17-(+AD17*V18)),IF(AND(S17="Probabilidad",S18="Impacto"),(AD16-(+AD16*V18)),IF(S18="Probabilidad",AD17,""))),"")</f>
        <v/>
      </c>
      <c r="AE18" s="131" t="str">
        <f t="shared" si="10"/>
        <v/>
      </c>
      <c r="AF18" s="132"/>
      <c r="AG18" s="133"/>
      <c r="AH18" s="134"/>
      <c r="AI18" s="135"/>
      <c r="AJ18" s="135"/>
      <c r="AK18" s="133"/>
      <c r="AL18" s="13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51.5" customHeight="1" x14ac:dyDescent="0.3">
      <c r="A19" s="200"/>
      <c r="B19" s="191"/>
      <c r="C19" s="191"/>
      <c r="D19" s="191"/>
      <c r="E19" s="139"/>
      <c r="F19" s="191"/>
      <c r="G19" s="203"/>
      <c r="H19" s="191"/>
      <c r="I19" s="220"/>
      <c r="J19" s="223"/>
      <c r="K19" s="194"/>
      <c r="L19" s="226"/>
      <c r="M19" s="194">
        <f>IF(NOT(ISERROR(MATCH(L19,_xlfn.ANCHORARRAY(G30),0))),K32&amp;"Por favor no seleccionar los criterios de impacto",L19)</f>
        <v>0</v>
      </c>
      <c r="N19" s="223"/>
      <c r="O19" s="194"/>
      <c r="P19" s="197"/>
      <c r="Q19" s="123">
        <v>4</v>
      </c>
      <c r="R19" s="124"/>
      <c r="S19" s="125" t="str">
        <f t="shared" ref="S19:S21" si="11">IF(OR(T19="Preventivo",T19="Detectivo"),"Probabilidad",IF(T19="Correctivo","Impacto",""))</f>
        <v/>
      </c>
      <c r="T19" s="126"/>
      <c r="U19" s="126"/>
      <c r="V19" s="127" t="str">
        <f t="shared" si="8"/>
        <v/>
      </c>
      <c r="W19" s="126"/>
      <c r="X19" s="126"/>
      <c r="Y19" s="126"/>
      <c r="Z19" s="128" t="str">
        <f t="shared" ref="Z19:Z21" si="12">IFERROR(IF(AND(S18="Probabilidad",S19="Probabilidad"),(AB18-(+AB18*V19)),IF(AND(S18="Impacto",S19="Probabilidad"),(AB17-(+AB17*V19)),IF(S19="Impacto",AB18,""))),"")</f>
        <v/>
      </c>
      <c r="AA19" s="129" t="str">
        <f t="shared" si="1"/>
        <v/>
      </c>
      <c r="AB19" s="130" t="str">
        <f t="shared" si="9"/>
        <v/>
      </c>
      <c r="AC19" s="129" t="str">
        <f t="shared" si="3"/>
        <v/>
      </c>
      <c r="AD19" s="130" t="str">
        <f t="shared" ref="AD19:AD21" si="13">IFERROR(IF(AND(S18="Impacto",S19="Impacto"),(AD18-(+AD18*V19)),IF(AND(S18="Probabilidad",S19="Impacto"),(AD17-(+AD17*V19)),IF(S19="Probabilidad",AD18,""))),"")</f>
        <v/>
      </c>
      <c r="AE19" s="131"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2"/>
      <c r="AG19" s="133"/>
      <c r="AH19" s="134"/>
      <c r="AI19" s="135"/>
      <c r="AJ19" s="135"/>
      <c r="AK19" s="133"/>
      <c r="AL19" s="134"/>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51.5" customHeight="1" x14ac:dyDescent="0.3">
      <c r="A20" s="200"/>
      <c r="B20" s="191"/>
      <c r="C20" s="191"/>
      <c r="D20" s="191"/>
      <c r="E20" s="139"/>
      <c r="F20" s="191"/>
      <c r="G20" s="203"/>
      <c r="H20" s="191"/>
      <c r="I20" s="220"/>
      <c r="J20" s="223"/>
      <c r="K20" s="194"/>
      <c r="L20" s="226"/>
      <c r="M20" s="194">
        <f>IF(NOT(ISERROR(MATCH(L20,_xlfn.ANCHORARRAY(G31),0))),K33&amp;"Por favor no seleccionar los criterios de impacto",L20)</f>
        <v>0</v>
      </c>
      <c r="N20" s="223"/>
      <c r="O20" s="194"/>
      <c r="P20" s="197"/>
      <c r="Q20" s="123">
        <v>5</v>
      </c>
      <c r="R20" s="124"/>
      <c r="S20" s="125" t="str">
        <f t="shared" si="11"/>
        <v/>
      </c>
      <c r="T20" s="126"/>
      <c r="U20" s="126"/>
      <c r="V20" s="127" t="str">
        <f t="shared" si="8"/>
        <v/>
      </c>
      <c r="W20" s="126"/>
      <c r="X20" s="126"/>
      <c r="Y20" s="126"/>
      <c r="Z20" s="128" t="str">
        <f t="shared" si="12"/>
        <v/>
      </c>
      <c r="AA20" s="129" t="str">
        <f t="shared" si="1"/>
        <v/>
      </c>
      <c r="AB20" s="130" t="str">
        <f t="shared" si="9"/>
        <v/>
      </c>
      <c r="AC20" s="129" t="str">
        <f t="shared" si="3"/>
        <v/>
      </c>
      <c r="AD20" s="130" t="str">
        <f t="shared" si="13"/>
        <v/>
      </c>
      <c r="AE20" s="131" t="str">
        <f t="shared" ref="AE20:AE21" si="14">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2"/>
      <c r="AG20" s="133"/>
      <c r="AH20" s="134"/>
      <c r="AI20" s="135"/>
      <c r="AJ20" s="135"/>
      <c r="AK20" s="133"/>
      <c r="AL20" s="134"/>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51.5" customHeight="1" x14ac:dyDescent="0.3">
      <c r="A21" s="201"/>
      <c r="B21" s="192"/>
      <c r="C21" s="192"/>
      <c r="D21" s="192"/>
      <c r="E21" s="138"/>
      <c r="F21" s="192"/>
      <c r="G21" s="204"/>
      <c r="H21" s="192"/>
      <c r="I21" s="221"/>
      <c r="J21" s="224"/>
      <c r="K21" s="195"/>
      <c r="L21" s="227"/>
      <c r="M21" s="195">
        <f>IF(NOT(ISERROR(MATCH(L21,_xlfn.ANCHORARRAY(G32),0))),K34&amp;"Por favor no seleccionar los criterios de impacto",L21)</f>
        <v>0</v>
      </c>
      <c r="N21" s="224"/>
      <c r="O21" s="195"/>
      <c r="P21" s="198"/>
      <c r="Q21" s="123">
        <v>6</v>
      </c>
      <c r="R21" s="124"/>
      <c r="S21" s="125" t="str">
        <f t="shared" si="11"/>
        <v/>
      </c>
      <c r="T21" s="126"/>
      <c r="U21" s="126"/>
      <c r="V21" s="127" t="str">
        <f t="shared" si="8"/>
        <v/>
      </c>
      <c r="W21" s="126"/>
      <c r="X21" s="126"/>
      <c r="Y21" s="126"/>
      <c r="Z21" s="128" t="str">
        <f t="shared" si="12"/>
        <v/>
      </c>
      <c r="AA21" s="129" t="str">
        <f t="shared" si="1"/>
        <v/>
      </c>
      <c r="AB21" s="130" t="str">
        <f t="shared" si="9"/>
        <v/>
      </c>
      <c r="AC21" s="129" t="str">
        <f t="shared" si="3"/>
        <v/>
      </c>
      <c r="AD21" s="130" t="str">
        <f t="shared" si="13"/>
        <v/>
      </c>
      <c r="AE21" s="131" t="str">
        <f t="shared" si="14"/>
        <v/>
      </c>
      <c r="AF21" s="132"/>
      <c r="AG21" s="133"/>
      <c r="AH21" s="134"/>
      <c r="AI21" s="135"/>
      <c r="AJ21" s="135"/>
      <c r="AK21" s="133"/>
      <c r="AL21" s="13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51.5" customHeight="1" x14ac:dyDescent="0.3">
      <c r="A22" s="199">
        <v>3</v>
      </c>
      <c r="B22" s="190" t="s">
        <v>215</v>
      </c>
      <c r="C22" s="190" t="s">
        <v>217</v>
      </c>
      <c r="D22" s="190" t="s">
        <v>242</v>
      </c>
      <c r="E22" s="139" t="s">
        <v>243</v>
      </c>
      <c r="F22" s="190" t="s">
        <v>244</v>
      </c>
      <c r="G22" s="202" t="s">
        <v>234</v>
      </c>
      <c r="H22" s="190" t="s">
        <v>123</v>
      </c>
      <c r="I22" s="219">
        <v>50</v>
      </c>
      <c r="J22" s="222" t="str">
        <f>IF(I22&lt;=0,"",IF(I22&lt;=2,"Muy Baja",IF(I22&lt;=24,"Baja",IF(I22&lt;=500,"Media",IF(I22&lt;=5000,"Alta","Muy Alta")))))</f>
        <v>Media</v>
      </c>
      <c r="K22" s="193">
        <f>IF(J22="","",IF(J22="Muy Baja",0.2,IF(J22="Baja",0.4,IF(J22="Media",0.6,IF(J22="Alta",0.8,IF(J22="Muy Alta",1,))))))</f>
        <v>0.6</v>
      </c>
      <c r="L22" s="225" t="s">
        <v>151</v>
      </c>
      <c r="M22" s="193" t="str">
        <f>IF(NOT(ISERROR(MATCH(L22,'Tabla Impacto'!$B$221:$B$223,0))),'Tabla Impacto'!$F$223&amp;"Por favor no seleccionar los criterios de impacto(Afectación Económica o presupuestal y Pérdida Reputacional)",L22)</f>
        <v xml:space="preserve">     Entre 100 y 500 SMLMV </v>
      </c>
      <c r="N22" s="222" t="str">
        <f>IF(OR(M22='Tabla Impacto'!$C$11,M22='Tabla Impacto'!$D$11),"Leve",IF(OR(M22='Tabla Impacto'!$C$12,M22='Tabla Impacto'!$D$12),"Menor",IF(OR(M22='Tabla Impacto'!$C$13,M22='Tabla Impacto'!$D$13),"Moderado",IF(OR(M22='Tabla Impacto'!$C$14,M22='Tabla Impacto'!$D$14),"Mayor",IF(OR(M22='Tabla Impacto'!$C$15,M22='Tabla Impacto'!$D$15),"Catastrófico","")))))</f>
        <v>Mayor</v>
      </c>
      <c r="O22" s="193">
        <f>IF(N22="","",IF(N22="Leve",0.2,IF(N22="Menor",0.4,IF(N22="Moderado",0.6,IF(N22="Mayor",0.8,IF(N22="Catastrófico",1,))))))</f>
        <v>0.8</v>
      </c>
      <c r="P22" s="196" t="str">
        <f>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Alto</v>
      </c>
      <c r="Q22" s="123">
        <v>1</v>
      </c>
      <c r="R22" s="124" t="s">
        <v>248</v>
      </c>
      <c r="S22" s="125" t="str">
        <f>IF(OR(T22="Preventivo",T22="Detectivo"),"Probabilidad",IF(T22="Correctivo","Impacto",""))</f>
        <v>Probabilidad</v>
      </c>
      <c r="T22" s="126" t="s">
        <v>14</v>
      </c>
      <c r="U22" s="126" t="s">
        <v>9</v>
      </c>
      <c r="V22" s="127" t="str">
        <f>IF(AND(T22="Preventivo",U22="Automático"),"50%",IF(AND(T22="Preventivo",U22="Manual"),"40%",IF(AND(T22="Detectivo",U22="Automático"),"40%",IF(AND(T22="Detectivo",U22="Manual"),"30%",IF(AND(T22="Correctivo",U22="Automático"),"35%",IF(AND(T22="Correctivo",U22="Manual"),"25%",""))))))</f>
        <v>40%</v>
      </c>
      <c r="W22" s="126" t="s">
        <v>19</v>
      </c>
      <c r="X22" s="126" t="s">
        <v>22</v>
      </c>
      <c r="Y22" s="126" t="s">
        <v>119</v>
      </c>
      <c r="Z22" s="128">
        <f>IFERROR(IF(S22="Probabilidad",(K22-(+K22*V22)),IF(S22="Impacto",K22,"")),"")</f>
        <v>0.36</v>
      </c>
      <c r="AA22" s="129" t="str">
        <f>IFERROR(IF(Z22="","",IF(Z22&lt;=0.2,"Muy Baja",IF(Z22&lt;=0.4,"Baja",IF(Z22&lt;=0.6,"Media",IF(Z22&lt;=0.8,"Alta","Muy Alta"))))),"")</f>
        <v>Baja</v>
      </c>
      <c r="AB22" s="130">
        <f>+Z22</f>
        <v>0.36</v>
      </c>
      <c r="AC22" s="129" t="str">
        <f>IFERROR(IF(AD22="","",IF(AD22&lt;=0.2,"Leve",IF(AD22&lt;=0.4,"Menor",IF(AD22&lt;=0.6,"Moderado",IF(AD22&lt;=0.8,"Mayor","Catastrófico"))))),"")</f>
        <v>Mayor</v>
      </c>
      <c r="AD22" s="130">
        <f>IFERROR(IF(S22="Impacto",(O22-(+O22*V22)),IF(S22="Probabilidad",O22,"")),"")</f>
        <v>0.8</v>
      </c>
      <c r="AE22" s="131"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Alto</v>
      </c>
      <c r="AF22" s="132" t="s">
        <v>136</v>
      </c>
      <c r="AG22" s="133" t="s">
        <v>253</v>
      </c>
      <c r="AH22" s="134" t="s">
        <v>249</v>
      </c>
      <c r="AI22" s="135">
        <v>45657</v>
      </c>
      <c r="AJ22" s="135">
        <v>45539</v>
      </c>
      <c r="AK22" s="133" t="s">
        <v>254</v>
      </c>
      <c r="AL22" s="134" t="s">
        <v>41</v>
      </c>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51.5" customHeight="1" x14ac:dyDescent="0.3">
      <c r="A23" s="200"/>
      <c r="B23" s="191"/>
      <c r="C23" s="191"/>
      <c r="D23" s="191"/>
      <c r="E23" s="139"/>
      <c r="F23" s="191"/>
      <c r="G23" s="203"/>
      <c r="H23" s="191"/>
      <c r="I23" s="220"/>
      <c r="J23" s="223"/>
      <c r="K23" s="194"/>
      <c r="L23" s="226"/>
      <c r="M23" s="194">
        <f t="shared" ref="M23:M27" si="15">IF(NOT(ISERROR(MATCH(L23,_xlfn.ANCHORARRAY(G34),0))),K36&amp;"Por favor no seleccionar los criterios de impacto",L23)</f>
        <v>0</v>
      </c>
      <c r="N23" s="223"/>
      <c r="O23" s="194"/>
      <c r="P23" s="197"/>
      <c r="Q23" s="123">
        <v>2</v>
      </c>
      <c r="R23" s="124"/>
      <c r="S23" s="125" t="str">
        <f>IF(OR(T23="Preventivo",T23="Detectivo"),"Probabilidad",IF(T23="Correctivo","Impacto",""))</f>
        <v/>
      </c>
      <c r="T23" s="126"/>
      <c r="U23" s="126"/>
      <c r="V23" s="127" t="str">
        <f t="shared" ref="V23:V27" si="16">IF(AND(T23="Preventivo",U23="Automático"),"50%",IF(AND(T23="Preventivo",U23="Manual"),"40%",IF(AND(T23="Detectivo",U23="Automático"),"40%",IF(AND(T23="Detectivo",U23="Manual"),"30%",IF(AND(T23="Correctivo",U23="Automático"),"35%",IF(AND(T23="Correctivo",U23="Manual"),"25%",""))))))</f>
        <v/>
      </c>
      <c r="W23" s="126"/>
      <c r="X23" s="126"/>
      <c r="Y23" s="126"/>
      <c r="Z23" s="137" t="str">
        <f>IFERROR(IF(AND(S22="Probabilidad",S23="Probabilidad"),(AB22-(+AB22*V23)),IF(S23="Probabilidad",(K22-(+K22*V23)),IF(S23="Impacto",AB22,""))),"")</f>
        <v/>
      </c>
      <c r="AA23" s="129" t="str">
        <f t="shared" si="1"/>
        <v/>
      </c>
      <c r="AB23" s="130" t="str">
        <f t="shared" ref="AB23:AB27" si="17">+Z23</f>
        <v/>
      </c>
      <c r="AC23" s="129" t="str">
        <f t="shared" si="3"/>
        <v/>
      </c>
      <c r="AD23" s="130" t="str">
        <f>IFERROR(IF(AND(S22="Impacto",S23="Impacto"),(AD22-(+AD22*V23)),IF(S23="Impacto",(O22-(+O22*V23)),IF(S23="Probabilidad",AD22,""))),"")</f>
        <v/>
      </c>
      <c r="AE23" s="131" t="str">
        <f t="shared" ref="AE23:AE24" si="18">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32"/>
      <c r="AG23" s="133"/>
      <c r="AH23" s="134"/>
      <c r="AI23" s="135"/>
      <c r="AJ23" s="135"/>
      <c r="AK23" s="133"/>
      <c r="AL23" s="134"/>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51.5" customHeight="1" x14ac:dyDescent="0.3">
      <c r="A24" s="200"/>
      <c r="B24" s="191"/>
      <c r="C24" s="191"/>
      <c r="D24" s="191"/>
      <c r="E24" s="139"/>
      <c r="F24" s="191"/>
      <c r="G24" s="203"/>
      <c r="H24" s="191"/>
      <c r="I24" s="220"/>
      <c r="J24" s="223"/>
      <c r="K24" s="194"/>
      <c r="L24" s="226"/>
      <c r="M24" s="194">
        <f t="shared" si="15"/>
        <v>0</v>
      </c>
      <c r="N24" s="223"/>
      <c r="O24" s="194"/>
      <c r="P24" s="197"/>
      <c r="Q24" s="123">
        <v>3</v>
      </c>
      <c r="R24" s="136"/>
      <c r="S24" s="125" t="str">
        <f>IF(OR(T24="Preventivo",T24="Detectivo"),"Probabilidad",IF(T24="Correctivo","Impacto",""))</f>
        <v/>
      </c>
      <c r="T24" s="126"/>
      <c r="U24" s="126"/>
      <c r="V24" s="127" t="str">
        <f t="shared" si="16"/>
        <v/>
      </c>
      <c r="W24" s="126"/>
      <c r="X24" s="126"/>
      <c r="Y24" s="126"/>
      <c r="Z24" s="128" t="str">
        <f>IFERROR(IF(AND(S23="Probabilidad",S24="Probabilidad"),(AB23-(+AB23*V24)),IF(AND(S23="Impacto",S24="Probabilidad"),(AB22-(+AB22*V24)),IF(S24="Impacto",AB23,""))),"")</f>
        <v/>
      </c>
      <c r="AA24" s="129" t="str">
        <f t="shared" si="1"/>
        <v/>
      </c>
      <c r="AB24" s="130" t="str">
        <f t="shared" si="17"/>
        <v/>
      </c>
      <c r="AC24" s="129" t="str">
        <f t="shared" si="3"/>
        <v/>
      </c>
      <c r="AD24" s="130" t="str">
        <f>IFERROR(IF(AND(S23="Impacto",S24="Impacto"),(AD23-(+AD23*V24)),IF(AND(S23="Probabilidad",S24="Impacto"),(AD22-(+AD22*V24)),IF(S24="Probabilidad",AD23,""))),"")</f>
        <v/>
      </c>
      <c r="AE24" s="131" t="str">
        <f t="shared" si="18"/>
        <v/>
      </c>
      <c r="AF24" s="132"/>
      <c r="AG24" s="133"/>
      <c r="AH24" s="134"/>
      <c r="AI24" s="135"/>
      <c r="AJ24" s="135"/>
      <c r="AK24" s="133"/>
      <c r="AL24" s="134"/>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51.5" customHeight="1" x14ac:dyDescent="0.3">
      <c r="A25" s="200"/>
      <c r="B25" s="191"/>
      <c r="C25" s="191"/>
      <c r="D25" s="191"/>
      <c r="E25" s="139"/>
      <c r="F25" s="191"/>
      <c r="G25" s="203"/>
      <c r="H25" s="191"/>
      <c r="I25" s="220"/>
      <c r="J25" s="223"/>
      <c r="K25" s="194"/>
      <c r="L25" s="226"/>
      <c r="M25" s="194">
        <f t="shared" si="15"/>
        <v>0</v>
      </c>
      <c r="N25" s="223"/>
      <c r="O25" s="194"/>
      <c r="P25" s="197"/>
      <c r="Q25" s="123">
        <v>4</v>
      </c>
      <c r="R25" s="124"/>
      <c r="S25" s="125" t="str">
        <f t="shared" ref="S25:S27" si="19">IF(OR(T25="Preventivo",T25="Detectivo"),"Probabilidad",IF(T25="Correctivo","Impacto",""))</f>
        <v/>
      </c>
      <c r="T25" s="126"/>
      <c r="U25" s="126"/>
      <c r="V25" s="127" t="str">
        <f t="shared" si="16"/>
        <v/>
      </c>
      <c r="W25" s="126"/>
      <c r="X25" s="126"/>
      <c r="Y25" s="126"/>
      <c r="Z25" s="128" t="str">
        <f t="shared" ref="Z25:Z27" si="20">IFERROR(IF(AND(S24="Probabilidad",S25="Probabilidad"),(AB24-(+AB24*V25)),IF(AND(S24="Impacto",S25="Probabilidad"),(AB23-(+AB23*V25)),IF(S25="Impacto",AB24,""))),"")</f>
        <v/>
      </c>
      <c r="AA25" s="129" t="str">
        <f t="shared" si="1"/>
        <v/>
      </c>
      <c r="AB25" s="130" t="str">
        <f t="shared" si="17"/>
        <v/>
      </c>
      <c r="AC25" s="129" t="str">
        <f t="shared" si="3"/>
        <v/>
      </c>
      <c r="AD25" s="130" t="str">
        <f t="shared" ref="AD25:AD27" si="21">IFERROR(IF(AND(S24="Impacto",S25="Impacto"),(AD24-(+AD24*V25)),IF(AND(S24="Probabilidad",S25="Impacto"),(AD23-(+AD23*V25)),IF(S25="Probabilidad",AD24,""))),"")</f>
        <v/>
      </c>
      <c r="AE25" s="131"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32"/>
      <c r="AG25" s="133"/>
      <c r="AH25" s="134"/>
      <c r="AI25" s="135"/>
      <c r="AJ25" s="135"/>
      <c r="AK25" s="133"/>
      <c r="AL25" s="134"/>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151.5" customHeight="1" x14ac:dyDescent="0.3">
      <c r="A26" s="200"/>
      <c r="B26" s="191"/>
      <c r="C26" s="191"/>
      <c r="D26" s="191"/>
      <c r="E26" s="139"/>
      <c r="F26" s="191"/>
      <c r="G26" s="203"/>
      <c r="H26" s="191"/>
      <c r="I26" s="220"/>
      <c r="J26" s="223"/>
      <c r="K26" s="194"/>
      <c r="L26" s="226"/>
      <c r="M26" s="194">
        <f t="shared" si="15"/>
        <v>0</v>
      </c>
      <c r="N26" s="223"/>
      <c r="O26" s="194"/>
      <c r="P26" s="197"/>
      <c r="Q26" s="123">
        <v>5</v>
      </c>
      <c r="R26" s="124"/>
      <c r="S26" s="125" t="str">
        <f t="shared" si="19"/>
        <v/>
      </c>
      <c r="T26" s="126"/>
      <c r="U26" s="126"/>
      <c r="V26" s="127" t="str">
        <f t="shared" si="16"/>
        <v/>
      </c>
      <c r="W26" s="126"/>
      <c r="X26" s="126"/>
      <c r="Y26" s="126"/>
      <c r="Z26" s="128" t="str">
        <f t="shared" si="20"/>
        <v/>
      </c>
      <c r="AA26" s="129" t="str">
        <f t="shared" si="1"/>
        <v/>
      </c>
      <c r="AB26" s="130" t="str">
        <f t="shared" si="17"/>
        <v/>
      </c>
      <c r="AC26" s="129" t="str">
        <f t="shared" si="3"/>
        <v/>
      </c>
      <c r="AD26" s="130" t="str">
        <f t="shared" si="21"/>
        <v/>
      </c>
      <c r="AE26" s="131" t="str">
        <f t="shared" ref="AE26:AE27" si="22">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32"/>
      <c r="AG26" s="133"/>
      <c r="AH26" s="134"/>
      <c r="AI26" s="135"/>
      <c r="AJ26" s="135"/>
      <c r="AK26" s="133"/>
      <c r="AL26" s="134"/>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151.5" customHeight="1" x14ac:dyDescent="0.3">
      <c r="A27" s="201"/>
      <c r="B27" s="192"/>
      <c r="C27" s="192"/>
      <c r="D27" s="192"/>
      <c r="E27" s="138"/>
      <c r="F27" s="192"/>
      <c r="G27" s="204"/>
      <c r="H27" s="192"/>
      <c r="I27" s="221"/>
      <c r="J27" s="224"/>
      <c r="K27" s="195"/>
      <c r="L27" s="227"/>
      <c r="M27" s="195">
        <f t="shared" si="15"/>
        <v>0</v>
      </c>
      <c r="N27" s="224"/>
      <c r="O27" s="195"/>
      <c r="P27" s="198"/>
      <c r="Q27" s="123">
        <v>6</v>
      </c>
      <c r="R27" s="124"/>
      <c r="S27" s="125" t="str">
        <f t="shared" si="19"/>
        <v/>
      </c>
      <c r="T27" s="126"/>
      <c r="U27" s="126"/>
      <c r="V27" s="127" t="str">
        <f t="shared" si="16"/>
        <v/>
      </c>
      <c r="W27" s="126"/>
      <c r="X27" s="126"/>
      <c r="Y27" s="126"/>
      <c r="Z27" s="128" t="str">
        <f t="shared" si="20"/>
        <v/>
      </c>
      <c r="AA27" s="129" t="str">
        <f t="shared" si="1"/>
        <v/>
      </c>
      <c r="AB27" s="130" t="str">
        <f t="shared" si="17"/>
        <v/>
      </c>
      <c r="AC27" s="129" t="str">
        <f t="shared" si="3"/>
        <v/>
      </c>
      <c r="AD27" s="130" t="str">
        <f t="shared" si="21"/>
        <v/>
      </c>
      <c r="AE27" s="131" t="str">
        <f t="shared" si="22"/>
        <v/>
      </c>
      <c r="AF27" s="132"/>
      <c r="AG27" s="133"/>
      <c r="AH27" s="134"/>
      <c r="AI27" s="135"/>
      <c r="AJ27" s="135"/>
      <c r="AK27" s="133"/>
      <c r="AL27" s="13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151.5" customHeight="1" x14ac:dyDescent="0.3">
      <c r="A28" s="199">
        <v>4</v>
      </c>
      <c r="B28" s="190"/>
      <c r="C28" s="190"/>
      <c r="D28" s="190"/>
      <c r="E28" s="139"/>
      <c r="F28" s="190"/>
      <c r="G28" s="202"/>
      <c r="H28" s="190"/>
      <c r="I28" s="219"/>
      <c r="J28" s="222" t="str">
        <f>IF(I28&lt;=0,"",IF(I28&lt;=2,"Muy Baja",IF(I28&lt;=24,"Baja",IF(I28&lt;=500,"Media",IF(I28&lt;=5000,"Alta","Muy Alta")))))</f>
        <v/>
      </c>
      <c r="K28" s="193" t="str">
        <f>IF(J28="","",IF(J28="Muy Baja",0.2,IF(J28="Baja",0.4,IF(J28="Media",0.6,IF(J28="Alta",0.8,IF(J28="Muy Alta",1,))))))</f>
        <v/>
      </c>
      <c r="L28" s="225"/>
      <c r="M28" s="193">
        <f>IF(NOT(ISERROR(MATCH(L28,'Tabla Impacto'!$B$221:$B$223,0))),'Tabla Impacto'!$F$223&amp;"Por favor no seleccionar los criterios de impacto(Afectación Económica o presupuestal y Pérdida Reputacional)",L28)</f>
        <v>0</v>
      </c>
      <c r="N28" s="222" t="str">
        <f>IF(OR(M28='Tabla Impacto'!$C$11,M28='Tabla Impacto'!$D$11),"Leve",IF(OR(M28='Tabla Impacto'!$C$12,M28='Tabla Impacto'!$D$12),"Menor",IF(OR(M28='Tabla Impacto'!$C$13,M28='Tabla Impacto'!$D$13),"Moderado",IF(OR(M28='Tabla Impacto'!$C$14,M28='Tabla Impacto'!$D$14),"Mayor",IF(OR(M28='Tabla Impacto'!$C$15,M28='Tabla Impacto'!$D$15),"Catastrófico","")))))</f>
        <v/>
      </c>
      <c r="O28" s="193" t="str">
        <f>IF(N28="","",IF(N28="Leve",0.2,IF(N28="Menor",0.4,IF(N28="Moderado",0.6,IF(N28="Mayor",0.8,IF(N28="Catastrófico",1,))))))</f>
        <v/>
      </c>
      <c r="P28" s="196" t="str">
        <f>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23">
        <v>1</v>
      </c>
      <c r="R28" s="124"/>
      <c r="S28" s="125" t="str">
        <f>IF(OR(T28="Preventivo",T28="Detectivo"),"Probabilidad",IF(T28="Correctivo","Impacto",""))</f>
        <v/>
      </c>
      <c r="T28" s="126"/>
      <c r="U28" s="126"/>
      <c r="V28" s="127" t="str">
        <f>IF(AND(T28="Preventivo",U28="Automático"),"50%",IF(AND(T28="Preventivo",U28="Manual"),"40%",IF(AND(T28="Detectivo",U28="Automático"),"40%",IF(AND(T28="Detectivo",U28="Manual"),"30%",IF(AND(T28="Correctivo",U28="Automático"),"35%",IF(AND(T28="Correctivo",U28="Manual"),"25%",""))))))</f>
        <v/>
      </c>
      <c r="W28" s="126"/>
      <c r="X28" s="126"/>
      <c r="Y28" s="126"/>
      <c r="Z28" s="128" t="str">
        <f>IFERROR(IF(S28="Probabilidad",(K28-(+K28*V28)),IF(S28="Impacto",K28,"")),"")</f>
        <v/>
      </c>
      <c r="AA28" s="129" t="str">
        <f>IFERROR(IF(Z28="","",IF(Z28&lt;=0.2,"Muy Baja",IF(Z28&lt;=0.4,"Baja",IF(Z28&lt;=0.6,"Media",IF(Z28&lt;=0.8,"Alta","Muy Alta"))))),"")</f>
        <v/>
      </c>
      <c r="AB28" s="130" t="str">
        <f>+Z28</f>
        <v/>
      </c>
      <c r="AC28" s="129" t="str">
        <f>IFERROR(IF(AD28="","",IF(AD28&lt;=0.2,"Leve",IF(AD28&lt;=0.4,"Menor",IF(AD28&lt;=0.6,"Moderado",IF(AD28&lt;=0.8,"Mayor","Catastrófico"))))),"")</f>
        <v/>
      </c>
      <c r="AD28" s="130" t="str">
        <f>IFERROR(IF(S28="Impacto",(O28-(+O28*V28)),IF(S28="Probabilidad",O28,"")),"")</f>
        <v/>
      </c>
      <c r="AE28" s="131"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32"/>
      <c r="AG28" s="133"/>
      <c r="AH28" s="134"/>
      <c r="AI28" s="135"/>
      <c r="AJ28" s="135"/>
      <c r="AK28" s="133"/>
      <c r="AL28" s="13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1.5" customHeight="1" x14ac:dyDescent="0.3">
      <c r="A29" s="200"/>
      <c r="B29" s="191"/>
      <c r="C29" s="191"/>
      <c r="D29" s="191"/>
      <c r="E29" s="139"/>
      <c r="F29" s="191"/>
      <c r="G29" s="203"/>
      <c r="H29" s="191"/>
      <c r="I29" s="220"/>
      <c r="J29" s="223"/>
      <c r="K29" s="194"/>
      <c r="L29" s="226"/>
      <c r="M29" s="194">
        <f t="shared" ref="M29:M33" si="23">IF(NOT(ISERROR(MATCH(L29,_xlfn.ANCHORARRAY(G40),0))),K42&amp;"Por favor no seleccionar los criterios de impacto",L29)</f>
        <v>0</v>
      </c>
      <c r="N29" s="223"/>
      <c r="O29" s="194"/>
      <c r="P29" s="197"/>
      <c r="Q29" s="123">
        <v>2</v>
      </c>
      <c r="R29" s="124"/>
      <c r="S29" s="125" t="str">
        <f>IF(OR(T29="Preventivo",T29="Detectivo"),"Probabilidad",IF(T29="Correctivo","Impacto",""))</f>
        <v/>
      </c>
      <c r="T29" s="126"/>
      <c r="U29" s="126"/>
      <c r="V29" s="127" t="str">
        <f t="shared" ref="V29:V33" si="24">IF(AND(T29="Preventivo",U29="Automático"),"50%",IF(AND(T29="Preventivo",U29="Manual"),"40%",IF(AND(T29="Detectivo",U29="Automático"),"40%",IF(AND(T29="Detectivo",U29="Manual"),"30%",IF(AND(T29="Correctivo",U29="Automático"),"35%",IF(AND(T29="Correctivo",U29="Manual"),"25%",""))))))</f>
        <v/>
      </c>
      <c r="W29" s="126"/>
      <c r="X29" s="126"/>
      <c r="Y29" s="126"/>
      <c r="Z29" s="128" t="str">
        <f>IFERROR(IF(AND(S28="Probabilidad",S29="Probabilidad"),(AB28-(+AB28*V29)),IF(S29="Probabilidad",(K28-(+K28*V29)),IF(S29="Impacto",AB28,""))),"")</f>
        <v/>
      </c>
      <c r="AA29" s="129" t="str">
        <f t="shared" si="1"/>
        <v/>
      </c>
      <c r="AB29" s="130" t="str">
        <f t="shared" ref="AB29:AB33" si="25">+Z29</f>
        <v/>
      </c>
      <c r="AC29" s="129" t="str">
        <f t="shared" si="3"/>
        <v/>
      </c>
      <c r="AD29" s="130" t="str">
        <f>IFERROR(IF(AND(S28="Impacto",S29="Impacto"),(AD28-(+AD28*V29)),IF(S29="Impacto",(O28-(+O28*V29)),IF(S29="Probabilidad",AD28,""))),"")</f>
        <v/>
      </c>
      <c r="AE29" s="131" t="str">
        <f t="shared" ref="AE29:AE30" si="26">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2"/>
      <c r="AG29" s="133"/>
      <c r="AH29" s="134"/>
      <c r="AI29" s="135"/>
      <c r="AJ29" s="135"/>
      <c r="AK29" s="133"/>
      <c r="AL29" s="134"/>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51.5" customHeight="1" x14ac:dyDescent="0.3">
      <c r="A30" s="200"/>
      <c r="B30" s="191"/>
      <c r="C30" s="191"/>
      <c r="D30" s="191"/>
      <c r="E30" s="139"/>
      <c r="F30" s="191"/>
      <c r="G30" s="203"/>
      <c r="H30" s="191"/>
      <c r="I30" s="220"/>
      <c r="J30" s="223"/>
      <c r="K30" s="194"/>
      <c r="L30" s="226"/>
      <c r="M30" s="194">
        <f t="shared" si="23"/>
        <v>0</v>
      </c>
      <c r="N30" s="223"/>
      <c r="O30" s="194"/>
      <c r="P30" s="197"/>
      <c r="Q30" s="123">
        <v>3</v>
      </c>
      <c r="R30" s="136"/>
      <c r="S30" s="125" t="str">
        <f>IF(OR(T30="Preventivo",T30="Detectivo"),"Probabilidad",IF(T30="Correctivo","Impacto",""))</f>
        <v/>
      </c>
      <c r="T30" s="126"/>
      <c r="U30" s="126"/>
      <c r="V30" s="127" t="str">
        <f t="shared" si="24"/>
        <v/>
      </c>
      <c r="W30" s="126"/>
      <c r="X30" s="126"/>
      <c r="Y30" s="126"/>
      <c r="Z30" s="128" t="str">
        <f>IFERROR(IF(AND(S29="Probabilidad",S30="Probabilidad"),(AB29-(+AB29*V30)),IF(AND(S29="Impacto",S30="Probabilidad"),(AB28-(+AB28*V30)),IF(S30="Impacto",AB29,""))),"")</f>
        <v/>
      </c>
      <c r="AA30" s="129" t="str">
        <f t="shared" si="1"/>
        <v/>
      </c>
      <c r="AB30" s="130" t="str">
        <f t="shared" si="25"/>
        <v/>
      </c>
      <c r="AC30" s="129" t="str">
        <f t="shared" si="3"/>
        <v/>
      </c>
      <c r="AD30" s="130" t="str">
        <f>IFERROR(IF(AND(S29="Impacto",S30="Impacto"),(AD29-(+AD29*V30)),IF(AND(S29="Probabilidad",S30="Impacto"),(AD28-(+AD28*V30)),IF(S30="Probabilidad",AD29,""))),"")</f>
        <v/>
      </c>
      <c r="AE30" s="131" t="str">
        <f t="shared" si="26"/>
        <v/>
      </c>
      <c r="AF30" s="132"/>
      <c r="AG30" s="133"/>
      <c r="AH30" s="134"/>
      <c r="AI30" s="135"/>
      <c r="AJ30" s="135"/>
      <c r="AK30" s="133"/>
      <c r="AL30" s="134"/>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51.5" customHeight="1" x14ac:dyDescent="0.3">
      <c r="A31" s="200"/>
      <c r="B31" s="191"/>
      <c r="C31" s="191"/>
      <c r="D31" s="191"/>
      <c r="E31" s="139"/>
      <c r="F31" s="191"/>
      <c r="G31" s="203"/>
      <c r="H31" s="191"/>
      <c r="I31" s="220"/>
      <c r="J31" s="223"/>
      <c r="K31" s="194"/>
      <c r="L31" s="226"/>
      <c r="M31" s="194">
        <f t="shared" si="23"/>
        <v>0</v>
      </c>
      <c r="N31" s="223"/>
      <c r="O31" s="194"/>
      <c r="P31" s="197"/>
      <c r="Q31" s="123">
        <v>4</v>
      </c>
      <c r="R31" s="124"/>
      <c r="S31" s="125" t="str">
        <f t="shared" ref="S31:S33" si="27">IF(OR(T31="Preventivo",T31="Detectivo"),"Probabilidad",IF(T31="Correctivo","Impacto",""))</f>
        <v/>
      </c>
      <c r="T31" s="126"/>
      <c r="U31" s="126"/>
      <c r="V31" s="127" t="str">
        <f t="shared" si="24"/>
        <v/>
      </c>
      <c r="W31" s="126"/>
      <c r="X31" s="126"/>
      <c r="Y31" s="126"/>
      <c r="Z31" s="128" t="str">
        <f t="shared" ref="Z31:Z33" si="28">IFERROR(IF(AND(S30="Probabilidad",S31="Probabilidad"),(AB30-(+AB30*V31)),IF(AND(S30="Impacto",S31="Probabilidad"),(AB29-(+AB29*V31)),IF(S31="Impacto",AB30,""))),"")</f>
        <v/>
      </c>
      <c r="AA31" s="129" t="str">
        <f t="shared" si="1"/>
        <v/>
      </c>
      <c r="AB31" s="130" t="str">
        <f t="shared" si="25"/>
        <v/>
      </c>
      <c r="AC31" s="129" t="str">
        <f t="shared" si="3"/>
        <v/>
      </c>
      <c r="AD31" s="130" t="str">
        <f t="shared" ref="AD31:AD33" si="29">IFERROR(IF(AND(S30="Impacto",S31="Impacto"),(AD30-(+AD30*V31)),IF(AND(S30="Probabilidad",S31="Impacto"),(AD29-(+AD29*V31)),IF(S31="Probabilidad",AD30,""))),"")</f>
        <v/>
      </c>
      <c r="AE31" s="131"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32"/>
      <c r="AG31" s="133"/>
      <c r="AH31" s="134"/>
      <c r="AI31" s="135"/>
      <c r="AJ31" s="135"/>
      <c r="AK31" s="133"/>
      <c r="AL31" s="134"/>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1.5" customHeight="1" x14ac:dyDescent="0.3">
      <c r="A32" s="200"/>
      <c r="B32" s="191"/>
      <c r="C32" s="191"/>
      <c r="D32" s="191"/>
      <c r="E32" s="139"/>
      <c r="F32" s="191"/>
      <c r="G32" s="203"/>
      <c r="H32" s="191"/>
      <c r="I32" s="220"/>
      <c r="J32" s="223"/>
      <c r="K32" s="194"/>
      <c r="L32" s="226"/>
      <c r="M32" s="194">
        <f t="shared" si="23"/>
        <v>0</v>
      </c>
      <c r="N32" s="223"/>
      <c r="O32" s="194"/>
      <c r="P32" s="197"/>
      <c r="Q32" s="123">
        <v>5</v>
      </c>
      <c r="R32" s="124"/>
      <c r="S32" s="125" t="str">
        <f t="shared" si="27"/>
        <v/>
      </c>
      <c r="T32" s="126"/>
      <c r="U32" s="126"/>
      <c r="V32" s="127" t="str">
        <f t="shared" si="24"/>
        <v/>
      </c>
      <c r="W32" s="126"/>
      <c r="X32" s="126"/>
      <c r="Y32" s="126"/>
      <c r="Z32" s="137" t="str">
        <f t="shared" si="28"/>
        <v/>
      </c>
      <c r="AA32" s="129" t="str">
        <f>IFERROR(IF(Z32="","",IF(Z32&lt;=0.2,"Muy Baja",IF(Z32&lt;=0.4,"Baja",IF(Z32&lt;=0.6,"Media",IF(Z32&lt;=0.8,"Alta","Muy Alta"))))),"")</f>
        <v/>
      </c>
      <c r="AB32" s="130" t="str">
        <f t="shared" si="25"/>
        <v/>
      </c>
      <c r="AC32" s="129" t="str">
        <f t="shared" si="3"/>
        <v/>
      </c>
      <c r="AD32" s="130" t="str">
        <f t="shared" si="29"/>
        <v/>
      </c>
      <c r="AE32" s="131" t="str">
        <f t="shared" ref="AE32:AE33" si="30">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2"/>
      <c r="AG32" s="133"/>
      <c r="AH32" s="134"/>
      <c r="AI32" s="135"/>
      <c r="AJ32" s="135"/>
      <c r="AK32" s="133"/>
      <c r="AL32" s="134"/>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51.5" customHeight="1" x14ac:dyDescent="0.3">
      <c r="A33" s="201"/>
      <c r="B33" s="192"/>
      <c r="C33" s="192"/>
      <c r="D33" s="192"/>
      <c r="E33" s="138"/>
      <c r="F33" s="192"/>
      <c r="G33" s="204"/>
      <c r="H33" s="192"/>
      <c r="I33" s="221"/>
      <c r="J33" s="224"/>
      <c r="K33" s="195"/>
      <c r="L33" s="227"/>
      <c r="M33" s="195">
        <f t="shared" si="23"/>
        <v>0</v>
      </c>
      <c r="N33" s="224"/>
      <c r="O33" s="195"/>
      <c r="P33" s="198"/>
      <c r="Q33" s="123">
        <v>6</v>
      </c>
      <c r="R33" s="124"/>
      <c r="S33" s="125" t="str">
        <f t="shared" si="27"/>
        <v/>
      </c>
      <c r="T33" s="126"/>
      <c r="U33" s="126"/>
      <c r="V33" s="127" t="str">
        <f t="shared" si="24"/>
        <v/>
      </c>
      <c r="W33" s="126"/>
      <c r="X33" s="126"/>
      <c r="Y33" s="126"/>
      <c r="Z33" s="128" t="str">
        <f t="shared" si="28"/>
        <v/>
      </c>
      <c r="AA33" s="129" t="str">
        <f t="shared" si="1"/>
        <v/>
      </c>
      <c r="AB33" s="130" t="str">
        <f t="shared" si="25"/>
        <v/>
      </c>
      <c r="AC33" s="129" t="str">
        <f t="shared" si="3"/>
        <v/>
      </c>
      <c r="AD33" s="130" t="str">
        <f t="shared" si="29"/>
        <v/>
      </c>
      <c r="AE33" s="131" t="str">
        <f t="shared" si="30"/>
        <v/>
      </c>
      <c r="AF33" s="132"/>
      <c r="AG33" s="133"/>
      <c r="AH33" s="134"/>
      <c r="AI33" s="135"/>
      <c r="AJ33" s="135"/>
      <c r="AK33" s="133"/>
      <c r="AL33" s="134"/>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151.5" customHeight="1" x14ac:dyDescent="0.3">
      <c r="A34" s="199">
        <v>5</v>
      </c>
      <c r="B34" s="190"/>
      <c r="C34" s="190"/>
      <c r="D34" s="190"/>
      <c r="E34" s="190"/>
      <c r="F34" s="190"/>
      <c r="G34" s="202"/>
      <c r="H34" s="190"/>
      <c r="I34" s="219"/>
      <c r="J34" s="222" t="str">
        <f>IF(I34&lt;=0,"",IF(I34&lt;=2,"Muy Baja",IF(I34&lt;=24,"Baja",IF(I34&lt;=500,"Media",IF(I34&lt;=5000,"Alta","Muy Alta")))))</f>
        <v/>
      </c>
      <c r="K34" s="193" t="str">
        <f>IF(J34="","",IF(J34="Muy Baja",0.2,IF(J34="Baja",0.4,IF(J34="Media",0.6,IF(J34="Alta",0.8,IF(J34="Muy Alta",1,))))))</f>
        <v/>
      </c>
      <c r="L34" s="225"/>
      <c r="M34" s="193">
        <f>IF(NOT(ISERROR(MATCH(L34,'Tabla Impacto'!$B$221:$B$223,0))),'Tabla Impacto'!$F$223&amp;"Por favor no seleccionar los criterios de impacto(Afectación Económica o presupuestal y Pérdida Reputacional)",L34)</f>
        <v>0</v>
      </c>
      <c r="N34" s="222" t="str">
        <f>IF(OR(M34='Tabla Impacto'!$C$11,M34='Tabla Impacto'!$D$11),"Leve",IF(OR(M34='Tabla Impacto'!$C$12,M34='Tabla Impacto'!$D$12),"Menor",IF(OR(M34='Tabla Impacto'!$C$13,M34='Tabla Impacto'!$D$13),"Moderado",IF(OR(M34='Tabla Impacto'!$C$14,M34='Tabla Impacto'!$D$14),"Mayor",IF(OR(M34='Tabla Impacto'!$C$15,M34='Tabla Impacto'!$D$15),"Catastrófico","")))))</f>
        <v/>
      </c>
      <c r="O34" s="193" t="str">
        <f>IF(N34="","",IF(N34="Leve",0.2,IF(N34="Menor",0.4,IF(N34="Moderado",0.6,IF(N34="Mayor",0.8,IF(N34="Catastrófico",1,))))))</f>
        <v/>
      </c>
      <c r="P34" s="196" t="str">
        <f>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23">
        <v>1</v>
      </c>
      <c r="R34" s="124"/>
      <c r="S34" s="125" t="str">
        <f>IF(OR(T34="Preventivo",T34="Detectivo"),"Probabilidad",IF(T34="Correctivo","Impacto",""))</f>
        <v/>
      </c>
      <c r="T34" s="126"/>
      <c r="U34" s="126"/>
      <c r="V34" s="127" t="str">
        <f>IF(AND(T34="Preventivo",U34="Automático"),"50%",IF(AND(T34="Preventivo",U34="Manual"),"40%",IF(AND(T34="Detectivo",U34="Automático"),"40%",IF(AND(T34="Detectivo",U34="Manual"),"30%",IF(AND(T34="Correctivo",U34="Automático"),"35%",IF(AND(T34="Correctivo",U34="Manual"),"25%",""))))))</f>
        <v/>
      </c>
      <c r="W34" s="126"/>
      <c r="X34" s="126"/>
      <c r="Y34" s="126"/>
      <c r="Z34" s="128" t="str">
        <f>IFERROR(IF(S34="Probabilidad",(K34-(+K34*V34)),IF(S34="Impacto",K34,"")),"")</f>
        <v/>
      </c>
      <c r="AA34" s="129" t="str">
        <f>IFERROR(IF(Z34="","",IF(Z34&lt;=0.2,"Muy Baja",IF(Z34&lt;=0.4,"Baja",IF(Z34&lt;=0.6,"Media",IF(Z34&lt;=0.8,"Alta","Muy Alta"))))),"")</f>
        <v/>
      </c>
      <c r="AB34" s="130" t="str">
        <f>+Z34</f>
        <v/>
      </c>
      <c r="AC34" s="129" t="str">
        <f>IFERROR(IF(AD34="","",IF(AD34&lt;=0.2,"Leve",IF(AD34&lt;=0.4,"Menor",IF(AD34&lt;=0.6,"Moderado",IF(AD34&lt;=0.8,"Mayor","Catastrófico"))))),"")</f>
        <v/>
      </c>
      <c r="AD34" s="130" t="str">
        <f>IFERROR(IF(S34="Impacto",(O34-(+O34*V34)),IF(S34="Probabilidad",O34,"")),"")</f>
        <v/>
      </c>
      <c r="AE34" s="131"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2"/>
      <c r="AG34" s="133"/>
      <c r="AH34" s="134"/>
      <c r="AI34" s="135"/>
      <c r="AJ34" s="135"/>
      <c r="AK34" s="133"/>
      <c r="AL34" s="134"/>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151.5" customHeight="1" x14ac:dyDescent="0.3">
      <c r="A35" s="200"/>
      <c r="B35" s="191"/>
      <c r="C35" s="191"/>
      <c r="D35" s="191"/>
      <c r="E35" s="191"/>
      <c r="F35" s="191"/>
      <c r="G35" s="203"/>
      <c r="H35" s="191"/>
      <c r="I35" s="220"/>
      <c r="J35" s="223"/>
      <c r="K35" s="194"/>
      <c r="L35" s="226"/>
      <c r="M35" s="194">
        <f t="shared" ref="M35:M39" si="31">IF(NOT(ISERROR(MATCH(L35,_xlfn.ANCHORARRAY(G46),0))),K48&amp;"Por favor no seleccionar los criterios de impacto",L35)</f>
        <v>0</v>
      </c>
      <c r="N35" s="223"/>
      <c r="O35" s="194"/>
      <c r="P35" s="197"/>
      <c r="Q35" s="123">
        <v>2</v>
      </c>
      <c r="R35" s="124"/>
      <c r="S35" s="125" t="str">
        <f>IF(OR(T35="Preventivo",T35="Detectivo"),"Probabilidad",IF(T35="Correctivo","Impacto",""))</f>
        <v/>
      </c>
      <c r="T35" s="126"/>
      <c r="U35" s="126"/>
      <c r="V35" s="127" t="str">
        <f t="shared" ref="V35:V39" si="32">IF(AND(T35="Preventivo",U35="Automático"),"50%",IF(AND(T35="Preventivo",U35="Manual"),"40%",IF(AND(T35="Detectivo",U35="Automático"),"40%",IF(AND(T35="Detectivo",U35="Manual"),"30%",IF(AND(T35="Correctivo",U35="Automático"),"35%",IF(AND(T35="Correctivo",U35="Manual"),"25%",""))))))</f>
        <v/>
      </c>
      <c r="W35" s="126"/>
      <c r="X35" s="126"/>
      <c r="Y35" s="126"/>
      <c r="Z35" s="128" t="str">
        <f>IFERROR(IF(AND(S34="Probabilidad",S35="Probabilidad"),(AB34-(+AB34*V35)),IF(S35="Probabilidad",(K34-(+K34*V35)),IF(S35="Impacto",AB34,""))),"")</f>
        <v/>
      </c>
      <c r="AA35" s="129" t="str">
        <f t="shared" si="1"/>
        <v/>
      </c>
      <c r="AB35" s="130" t="str">
        <f t="shared" ref="AB35:AB39" si="33">+Z35</f>
        <v/>
      </c>
      <c r="AC35" s="129" t="str">
        <f t="shared" si="3"/>
        <v/>
      </c>
      <c r="AD35" s="130" t="str">
        <f>IFERROR(IF(AND(S34="Impacto",S35="Impacto"),(AD34-(+AD34*V35)),IF(S35="Impacto",(O34-(+O34*V35)),IF(S35="Probabilidad",AD34,""))),"")</f>
        <v/>
      </c>
      <c r="AE35" s="131" t="str">
        <f t="shared" ref="AE35:AE36" si="34">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2"/>
      <c r="AG35" s="133"/>
      <c r="AH35" s="134"/>
      <c r="AI35" s="135"/>
      <c r="AJ35" s="135"/>
      <c r="AK35" s="133"/>
      <c r="AL35" s="134"/>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151.5" customHeight="1" x14ac:dyDescent="0.3">
      <c r="A36" s="200"/>
      <c r="B36" s="191"/>
      <c r="C36" s="191"/>
      <c r="D36" s="191"/>
      <c r="E36" s="191"/>
      <c r="F36" s="191"/>
      <c r="G36" s="203"/>
      <c r="H36" s="191"/>
      <c r="I36" s="220"/>
      <c r="J36" s="223"/>
      <c r="K36" s="194"/>
      <c r="L36" s="226"/>
      <c r="M36" s="194">
        <f t="shared" si="31"/>
        <v>0</v>
      </c>
      <c r="N36" s="223"/>
      <c r="O36" s="194"/>
      <c r="P36" s="197"/>
      <c r="Q36" s="123">
        <v>3</v>
      </c>
      <c r="R36" s="136"/>
      <c r="S36" s="125" t="str">
        <f>IF(OR(T36="Preventivo",T36="Detectivo"),"Probabilidad",IF(T36="Correctivo","Impacto",""))</f>
        <v/>
      </c>
      <c r="T36" s="126"/>
      <c r="U36" s="126"/>
      <c r="V36" s="127" t="str">
        <f t="shared" si="32"/>
        <v/>
      </c>
      <c r="W36" s="126"/>
      <c r="X36" s="126"/>
      <c r="Y36" s="126"/>
      <c r="Z36" s="128" t="str">
        <f>IFERROR(IF(AND(S35="Probabilidad",S36="Probabilidad"),(AB35-(+AB35*V36)),IF(AND(S35="Impacto",S36="Probabilidad"),(AB34-(+AB34*V36)),IF(S36="Impacto",AB35,""))),"")</f>
        <v/>
      </c>
      <c r="AA36" s="129" t="str">
        <f t="shared" si="1"/>
        <v/>
      </c>
      <c r="AB36" s="130" t="str">
        <f t="shared" si="33"/>
        <v/>
      </c>
      <c r="AC36" s="129" t="str">
        <f t="shared" si="3"/>
        <v/>
      </c>
      <c r="AD36" s="130" t="str">
        <f>IFERROR(IF(AND(S35="Impacto",S36="Impacto"),(AD35-(+AD35*V36)),IF(AND(S35="Probabilidad",S36="Impacto"),(AD34-(+AD34*V36)),IF(S36="Probabilidad",AD35,""))),"")</f>
        <v/>
      </c>
      <c r="AE36" s="131" t="str">
        <f t="shared" si="34"/>
        <v/>
      </c>
      <c r="AF36" s="132"/>
      <c r="AG36" s="133"/>
      <c r="AH36" s="134"/>
      <c r="AI36" s="135"/>
      <c r="AJ36" s="135"/>
      <c r="AK36" s="133"/>
      <c r="AL36" s="134"/>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151.5" customHeight="1" x14ac:dyDescent="0.3">
      <c r="A37" s="200"/>
      <c r="B37" s="191"/>
      <c r="C37" s="191"/>
      <c r="D37" s="191"/>
      <c r="E37" s="191"/>
      <c r="F37" s="191"/>
      <c r="G37" s="203"/>
      <c r="H37" s="191"/>
      <c r="I37" s="220"/>
      <c r="J37" s="223"/>
      <c r="K37" s="194"/>
      <c r="L37" s="226"/>
      <c r="M37" s="194">
        <f t="shared" si="31"/>
        <v>0</v>
      </c>
      <c r="N37" s="223"/>
      <c r="O37" s="194"/>
      <c r="P37" s="197"/>
      <c r="Q37" s="123">
        <v>4</v>
      </c>
      <c r="R37" s="124"/>
      <c r="S37" s="125" t="str">
        <f t="shared" ref="S37:S39" si="35">IF(OR(T37="Preventivo",T37="Detectivo"),"Probabilidad",IF(T37="Correctivo","Impacto",""))</f>
        <v/>
      </c>
      <c r="T37" s="126"/>
      <c r="U37" s="126"/>
      <c r="V37" s="127" t="str">
        <f t="shared" si="32"/>
        <v/>
      </c>
      <c r="W37" s="126"/>
      <c r="X37" s="126"/>
      <c r="Y37" s="126"/>
      <c r="Z37" s="128" t="str">
        <f t="shared" ref="Z37:Z39" si="36">IFERROR(IF(AND(S36="Probabilidad",S37="Probabilidad"),(AB36-(+AB36*V37)),IF(AND(S36="Impacto",S37="Probabilidad"),(AB35-(+AB35*V37)),IF(S37="Impacto",AB36,""))),"")</f>
        <v/>
      </c>
      <c r="AA37" s="129" t="str">
        <f t="shared" si="1"/>
        <v/>
      </c>
      <c r="AB37" s="130" t="str">
        <f t="shared" si="33"/>
        <v/>
      </c>
      <c r="AC37" s="129" t="str">
        <f t="shared" si="3"/>
        <v/>
      </c>
      <c r="AD37" s="130" t="str">
        <f t="shared" ref="AD37:AD39" si="37">IFERROR(IF(AND(S36="Impacto",S37="Impacto"),(AD36-(+AD36*V37)),IF(AND(S36="Probabilidad",S37="Impacto"),(AD35-(+AD35*V37)),IF(S37="Probabilidad",AD36,""))),"")</f>
        <v/>
      </c>
      <c r="AE37" s="131"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32"/>
      <c r="AG37" s="133"/>
      <c r="AH37" s="134"/>
      <c r="AI37" s="135"/>
      <c r="AJ37" s="135"/>
      <c r="AK37" s="133"/>
      <c r="AL37" s="13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151.5" customHeight="1" x14ac:dyDescent="0.3">
      <c r="A38" s="200"/>
      <c r="B38" s="191"/>
      <c r="C38" s="191"/>
      <c r="D38" s="191"/>
      <c r="E38" s="191"/>
      <c r="F38" s="191"/>
      <c r="G38" s="203"/>
      <c r="H38" s="191"/>
      <c r="I38" s="220"/>
      <c r="J38" s="223"/>
      <c r="K38" s="194"/>
      <c r="L38" s="226"/>
      <c r="M38" s="194">
        <f t="shared" si="31"/>
        <v>0</v>
      </c>
      <c r="N38" s="223"/>
      <c r="O38" s="194"/>
      <c r="P38" s="197"/>
      <c r="Q38" s="123">
        <v>5</v>
      </c>
      <c r="R38" s="124"/>
      <c r="S38" s="125" t="str">
        <f t="shared" si="35"/>
        <v/>
      </c>
      <c r="T38" s="126"/>
      <c r="U38" s="126"/>
      <c r="V38" s="127" t="str">
        <f t="shared" si="32"/>
        <v/>
      </c>
      <c r="W38" s="126"/>
      <c r="X38" s="126"/>
      <c r="Y38" s="126"/>
      <c r="Z38" s="128" t="str">
        <f t="shared" si="36"/>
        <v/>
      </c>
      <c r="AA38" s="129" t="str">
        <f t="shared" si="1"/>
        <v/>
      </c>
      <c r="AB38" s="130" t="str">
        <f t="shared" si="33"/>
        <v/>
      </c>
      <c r="AC38" s="129" t="str">
        <f t="shared" si="3"/>
        <v/>
      </c>
      <c r="AD38" s="130" t="str">
        <f t="shared" si="37"/>
        <v/>
      </c>
      <c r="AE38" s="131" t="str">
        <f t="shared" ref="AE38:AE39" si="38">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2"/>
      <c r="AG38" s="133"/>
      <c r="AH38" s="134"/>
      <c r="AI38" s="135"/>
      <c r="AJ38" s="135"/>
      <c r="AK38" s="133"/>
      <c r="AL38" s="13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51.5" customHeight="1" x14ac:dyDescent="0.3">
      <c r="A39" s="201"/>
      <c r="B39" s="192"/>
      <c r="C39" s="192"/>
      <c r="D39" s="192"/>
      <c r="E39" s="192"/>
      <c r="F39" s="192"/>
      <c r="G39" s="204"/>
      <c r="H39" s="192"/>
      <c r="I39" s="221"/>
      <c r="J39" s="224"/>
      <c r="K39" s="195"/>
      <c r="L39" s="227"/>
      <c r="M39" s="195">
        <f t="shared" si="31"/>
        <v>0</v>
      </c>
      <c r="N39" s="224"/>
      <c r="O39" s="195"/>
      <c r="P39" s="198"/>
      <c r="Q39" s="123">
        <v>6</v>
      </c>
      <c r="R39" s="124"/>
      <c r="S39" s="125" t="str">
        <f t="shared" si="35"/>
        <v/>
      </c>
      <c r="T39" s="126"/>
      <c r="U39" s="126"/>
      <c r="V39" s="127" t="str">
        <f t="shared" si="32"/>
        <v/>
      </c>
      <c r="W39" s="126"/>
      <c r="X39" s="126"/>
      <c r="Y39" s="126"/>
      <c r="Z39" s="128" t="str">
        <f t="shared" si="36"/>
        <v/>
      </c>
      <c r="AA39" s="129" t="str">
        <f t="shared" si="1"/>
        <v/>
      </c>
      <c r="AB39" s="130" t="str">
        <f t="shared" si="33"/>
        <v/>
      </c>
      <c r="AC39" s="129" t="str">
        <f t="shared" si="3"/>
        <v/>
      </c>
      <c r="AD39" s="130" t="str">
        <f t="shared" si="37"/>
        <v/>
      </c>
      <c r="AE39" s="131" t="str">
        <f t="shared" si="38"/>
        <v/>
      </c>
      <c r="AF39" s="132"/>
      <c r="AG39" s="133"/>
      <c r="AH39" s="134"/>
      <c r="AI39" s="135"/>
      <c r="AJ39" s="135"/>
      <c r="AK39" s="133"/>
      <c r="AL39" s="134"/>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151.5" customHeight="1" x14ac:dyDescent="0.3">
      <c r="A40" s="199">
        <v>6</v>
      </c>
      <c r="B40" s="190"/>
      <c r="C40" s="190"/>
      <c r="D40" s="190"/>
      <c r="E40" s="190"/>
      <c r="F40" s="190"/>
      <c r="G40" s="202"/>
      <c r="H40" s="190"/>
      <c r="I40" s="219"/>
      <c r="J40" s="222" t="str">
        <f>IF(I40&lt;=0,"",IF(I40&lt;=2,"Muy Baja",IF(I40&lt;=24,"Baja",IF(I40&lt;=500,"Media",IF(I40&lt;=5000,"Alta","Muy Alta")))))</f>
        <v/>
      </c>
      <c r="K40" s="193" t="str">
        <f>IF(J40="","",IF(J40="Muy Baja",0.2,IF(J40="Baja",0.4,IF(J40="Media",0.6,IF(J40="Alta",0.8,IF(J40="Muy Alta",1,))))))</f>
        <v/>
      </c>
      <c r="L40" s="225"/>
      <c r="M40" s="193">
        <f>IF(NOT(ISERROR(MATCH(L40,'Tabla Impacto'!$B$221:$B$223,0))),'Tabla Impacto'!$F$223&amp;"Por favor no seleccionar los criterios de impacto(Afectación Económica o presupuestal y Pérdida Reputacional)",L40)</f>
        <v>0</v>
      </c>
      <c r="N40" s="222" t="str">
        <f>IF(OR(M40='Tabla Impacto'!$C$11,M40='Tabla Impacto'!$D$11),"Leve",IF(OR(M40='Tabla Impacto'!$C$12,M40='Tabla Impacto'!$D$12),"Menor",IF(OR(M40='Tabla Impacto'!$C$13,M40='Tabla Impacto'!$D$13),"Moderado",IF(OR(M40='Tabla Impacto'!$C$14,M40='Tabla Impacto'!$D$14),"Mayor",IF(OR(M40='Tabla Impacto'!$C$15,M40='Tabla Impacto'!$D$15),"Catastrófico","")))))</f>
        <v/>
      </c>
      <c r="O40" s="193" t="str">
        <f>IF(N40="","",IF(N40="Leve",0.2,IF(N40="Menor",0.4,IF(N40="Moderado",0.6,IF(N40="Mayor",0.8,IF(N40="Catastrófico",1,))))))</f>
        <v/>
      </c>
      <c r="P40" s="196" t="str">
        <f>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23">
        <v>1</v>
      </c>
      <c r="R40" s="124"/>
      <c r="S40" s="125" t="str">
        <f>IF(OR(T40="Preventivo",T40="Detectivo"),"Probabilidad",IF(T40="Correctivo","Impacto",""))</f>
        <v/>
      </c>
      <c r="T40" s="126"/>
      <c r="U40" s="126"/>
      <c r="V40" s="127" t="str">
        <f>IF(AND(T40="Preventivo",U40="Automático"),"50%",IF(AND(T40="Preventivo",U40="Manual"),"40%",IF(AND(T40="Detectivo",U40="Automático"),"40%",IF(AND(T40="Detectivo",U40="Manual"),"30%",IF(AND(T40="Correctivo",U40="Automático"),"35%",IF(AND(T40="Correctivo",U40="Manual"),"25%",""))))))</f>
        <v/>
      </c>
      <c r="W40" s="126"/>
      <c r="X40" s="126"/>
      <c r="Y40" s="126"/>
      <c r="Z40" s="128" t="str">
        <f>IFERROR(IF(S40="Probabilidad",(K40-(+K40*V40)),IF(S40="Impacto",K40,"")),"")</f>
        <v/>
      </c>
      <c r="AA40" s="129" t="str">
        <f>IFERROR(IF(Z40="","",IF(Z40&lt;=0.2,"Muy Baja",IF(Z40&lt;=0.4,"Baja",IF(Z40&lt;=0.6,"Media",IF(Z40&lt;=0.8,"Alta","Muy Alta"))))),"")</f>
        <v/>
      </c>
      <c r="AB40" s="130" t="str">
        <f>+Z40</f>
        <v/>
      </c>
      <c r="AC40" s="129" t="str">
        <f>IFERROR(IF(AD40="","",IF(AD40&lt;=0.2,"Leve",IF(AD40&lt;=0.4,"Menor",IF(AD40&lt;=0.6,"Moderado",IF(AD40&lt;=0.8,"Mayor","Catastrófico"))))),"")</f>
        <v/>
      </c>
      <c r="AD40" s="130" t="str">
        <f>IFERROR(IF(S40="Impacto",(O40-(+O40*V40)),IF(S40="Probabilidad",O40,"")),"")</f>
        <v/>
      </c>
      <c r="AE40" s="131"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2"/>
      <c r="AG40" s="133"/>
      <c r="AH40" s="134"/>
      <c r="AI40" s="135"/>
      <c r="AJ40" s="135"/>
      <c r="AK40" s="133"/>
      <c r="AL40" s="134"/>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151.5" customHeight="1" x14ac:dyDescent="0.3">
      <c r="A41" s="200"/>
      <c r="B41" s="191"/>
      <c r="C41" s="191"/>
      <c r="D41" s="191"/>
      <c r="E41" s="191"/>
      <c r="F41" s="191"/>
      <c r="G41" s="203"/>
      <c r="H41" s="191"/>
      <c r="I41" s="220"/>
      <c r="J41" s="223"/>
      <c r="K41" s="194"/>
      <c r="L41" s="226"/>
      <c r="M41" s="194">
        <f t="shared" ref="M41:M45" si="39">IF(NOT(ISERROR(MATCH(L41,_xlfn.ANCHORARRAY(G52),0))),K54&amp;"Por favor no seleccionar los criterios de impacto",L41)</f>
        <v>0</v>
      </c>
      <c r="N41" s="223"/>
      <c r="O41" s="194"/>
      <c r="P41" s="197"/>
      <c r="Q41" s="123">
        <v>2</v>
      </c>
      <c r="R41" s="124"/>
      <c r="S41" s="125" t="str">
        <f>IF(OR(T41="Preventivo",T41="Detectivo"),"Probabilidad",IF(T41="Correctivo","Impacto",""))</f>
        <v/>
      </c>
      <c r="T41" s="126"/>
      <c r="U41" s="126"/>
      <c r="V41" s="127" t="str">
        <f t="shared" ref="V41:V45" si="40">IF(AND(T41="Preventivo",U41="Automático"),"50%",IF(AND(T41="Preventivo",U41="Manual"),"40%",IF(AND(T41="Detectivo",U41="Automático"),"40%",IF(AND(T41="Detectivo",U41="Manual"),"30%",IF(AND(T41="Correctivo",U41="Automático"),"35%",IF(AND(T41="Correctivo",U41="Manual"),"25%",""))))))</f>
        <v/>
      </c>
      <c r="W41" s="126"/>
      <c r="X41" s="126"/>
      <c r="Y41" s="126"/>
      <c r="Z41" s="128" t="str">
        <f>IFERROR(IF(AND(S40="Probabilidad",S41="Probabilidad"),(AB40-(+AB40*V41)),IF(S41="Probabilidad",(K40-(+K40*V41)),IF(S41="Impacto",AB40,""))),"")</f>
        <v/>
      </c>
      <c r="AA41" s="129" t="str">
        <f t="shared" si="1"/>
        <v/>
      </c>
      <c r="AB41" s="130" t="str">
        <f t="shared" ref="AB41:AB45" si="41">+Z41</f>
        <v/>
      </c>
      <c r="AC41" s="129" t="str">
        <f t="shared" si="3"/>
        <v/>
      </c>
      <c r="AD41" s="130" t="str">
        <f>IFERROR(IF(AND(S40="Impacto",S41="Impacto"),(AD40-(+AD40*V41)),IF(S41="Impacto",(O40-(+O40*V41)),IF(S41="Probabilidad",AD40,""))),"")</f>
        <v/>
      </c>
      <c r="AE41" s="131" t="str">
        <f t="shared" ref="AE41:AE42" si="42">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2"/>
      <c r="AG41" s="133"/>
      <c r="AH41" s="134"/>
      <c r="AI41" s="135"/>
      <c r="AJ41" s="135"/>
      <c r="AK41" s="133"/>
      <c r="AL41" s="134"/>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151.5" customHeight="1" x14ac:dyDescent="0.3">
      <c r="A42" s="200"/>
      <c r="B42" s="191"/>
      <c r="C42" s="191"/>
      <c r="D42" s="191"/>
      <c r="E42" s="191"/>
      <c r="F42" s="191"/>
      <c r="G42" s="203"/>
      <c r="H42" s="191"/>
      <c r="I42" s="220"/>
      <c r="J42" s="223"/>
      <c r="K42" s="194"/>
      <c r="L42" s="226"/>
      <c r="M42" s="194">
        <f t="shared" si="39"/>
        <v>0</v>
      </c>
      <c r="N42" s="223"/>
      <c r="O42" s="194"/>
      <c r="P42" s="197"/>
      <c r="Q42" s="123">
        <v>3</v>
      </c>
      <c r="R42" s="136"/>
      <c r="S42" s="125" t="str">
        <f>IF(OR(T42="Preventivo",T42="Detectivo"),"Probabilidad",IF(T42="Correctivo","Impacto",""))</f>
        <v/>
      </c>
      <c r="T42" s="126"/>
      <c r="U42" s="126"/>
      <c r="V42" s="127" t="str">
        <f t="shared" si="40"/>
        <v/>
      </c>
      <c r="W42" s="126"/>
      <c r="X42" s="126"/>
      <c r="Y42" s="126"/>
      <c r="Z42" s="128" t="str">
        <f>IFERROR(IF(AND(S41="Probabilidad",S42="Probabilidad"),(AB41-(+AB41*V42)),IF(AND(S41="Impacto",S42="Probabilidad"),(AB40-(+AB40*V42)),IF(S42="Impacto",AB41,""))),"")</f>
        <v/>
      </c>
      <c r="AA42" s="129" t="str">
        <f t="shared" si="1"/>
        <v/>
      </c>
      <c r="AB42" s="130" t="str">
        <f t="shared" si="41"/>
        <v/>
      </c>
      <c r="AC42" s="129" t="str">
        <f t="shared" si="3"/>
        <v/>
      </c>
      <c r="AD42" s="130" t="str">
        <f>IFERROR(IF(AND(S41="Impacto",S42="Impacto"),(AD41-(+AD41*V42)),IF(AND(S41="Probabilidad",S42="Impacto"),(AD40-(+AD40*V42)),IF(S42="Probabilidad",AD41,""))),"")</f>
        <v/>
      </c>
      <c r="AE42" s="131" t="str">
        <f t="shared" si="42"/>
        <v/>
      </c>
      <c r="AF42" s="132"/>
      <c r="AG42" s="133"/>
      <c r="AH42" s="134"/>
      <c r="AI42" s="135"/>
      <c r="AJ42" s="135"/>
      <c r="AK42" s="133"/>
      <c r="AL42" s="134"/>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151.5" customHeight="1" x14ac:dyDescent="0.3">
      <c r="A43" s="200"/>
      <c r="B43" s="191"/>
      <c r="C43" s="191"/>
      <c r="D43" s="191"/>
      <c r="E43" s="191"/>
      <c r="F43" s="191"/>
      <c r="G43" s="203"/>
      <c r="H43" s="191"/>
      <c r="I43" s="220"/>
      <c r="J43" s="223"/>
      <c r="K43" s="194"/>
      <c r="L43" s="226"/>
      <c r="M43" s="194">
        <f t="shared" si="39"/>
        <v>0</v>
      </c>
      <c r="N43" s="223"/>
      <c r="O43" s="194"/>
      <c r="P43" s="197"/>
      <c r="Q43" s="123">
        <v>4</v>
      </c>
      <c r="R43" s="124"/>
      <c r="S43" s="125" t="str">
        <f t="shared" ref="S43:S45" si="43">IF(OR(T43="Preventivo",T43="Detectivo"),"Probabilidad",IF(T43="Correctivo","Impacto",""))</f>
        <v/>
      </c>
      <c r="T43" s="126"/>
      <c r="U43" s="126"/>
      <c r="V43" s="127" t="str">
        <f t="shared" si="40"/>
        <v/>
      </c>
      <c r="W43" s="126"/>
      <c r="X43" s="126"/>
      <c r="Y43" s="126"/>
      <c r="Z43" s="128" t="str">
        <f t="shared" ref="Z43:Z45" si="44">IFERROR(IF(AND(S42="Probabilidad",S43="Probabilidad"),(AB42-(+AB42*V43)),IF(AND(S42="Impacto",S43="Probabilidad"),(AB41-(+AB41*V43)),IF(S43="Impacto",AB42,""))),"")</f>
        <v/>
      </c>
      <c r="AA43" s="129" t="str">
        <f t="shared" si="1"/>
        <v/>
      </c>
      <c r="AB43" s="130" t="str">
        <f t="shared" si="41"/>
        <v/>
      </c>
      <c r="AC43" s="129" t="str">
        <f t="shared" si="3"/>
        <v/>
      </c>
      <c r="AD43" s="130" t="str">
        <f t="shared" ref="AD43:AD45" si="45">IFERROR(IF(AND(S42="Impacto",S43="Impacto"),(AD42-(+AD42*V43)),IF(AND(S42="Probabilidad",S43="Impacto"),(AD41-(+AD41*V43)),IF(S43="Probabilidad",AD42,""))),"")</f>
        <v/>
      </c>
      <c r="AE43" s="131"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32"/>
      <c r="AG43" s="133"/>
      <c r="AH43" s="134"/>
      <c r="AI43" s="135"/>
      <c r="AJ43" s="135"/>
      <c r="AK43" s="133"/>
      <c r="AL43" s="134"/>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151.5" customHeight="1" x14ac:dyDescent="0.3">
      <c r="A44" s="200"/>
      <c r="B44" s="191"/>
      <c r="C44" s="191"/>
      <c r="D44" s="191"/>
      <c r="E44" s="191"/>
      <c r="F44" s="191"/>
      <c r="G44" s="203"/>
      <c r="H44" s="191"/>
      <c r="I44" s="220"/>
      <c r="J44" s="223"/>
      <c r="K44" s="194"/>
      <c r="L44" s="226"/>
      <c r="M44" s="194">
        <f t="shared" si="39"/>
        <v>0</v>
      </c>
      <c r="N44" s="223"/>
      <c r="O44" s="194"/>
      <c r="P44" s="197"/>
      <c r="Q44" s="123">
        <v>5</v>
      </c>
      <c r="R44" s="124"/>
      <c r="S44" s="125" t="str">
        <f t="shared" si="43"/>
        <v/>
      </c>
      <c r="T44" s="126"/>
      <c r="U44" s="126"/>
      <c r="V44" s="127" t="str">
        <f t="shared" si="40"/>
        <v/>
      </c>
      <c r="W44" s="126"/>
      <c r="X44" s="126"/>
      <c r="Y44" s="126"/>
      <c r="Z44" s="128" t="str">
        <f t="shared" si="44"/>
        <v/>
      </c>
      <c r="AA44" s="129" t="str">
        <f t="shared" si="1"/>
        <v/>
      </c>
      <c r="AB44" s="130" t="str">
        <f t="shared" si="41"/>
        <v/>
      </c>
      <c r="AC44" s="129" t="str">
        <f t="shared" si="3"/>
        <v/>
      </c>
      <c r="AD44" s="130" t="str">
        <f t="shared" si="45"/>
        <v/>
      </c>
      <c r="AE44" s="131" t="str">
        <f t="shared" ref="AE44" si="46">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2"/>
      <c r="AG44" s="133"/>
      <c r="AH44" s="134"/>
      <c r="AI44" s="135"/>
      <c r="AJ44" s="135"/>
      <c r="AK44" s="133"/>
      <c r="AL44" s="13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151.5" customHeight="1" x14ac:dyDescent="0.3">
      <c r="A45" s="201"/>
      <c r="B45" s="192"/>
      <c r="C45" s="192"/>
      <c r="D45" s="192"/>
      <c r="E45" s="192"/>
      <c r="F45" s="192"/>
      <c r="G45" s="204"/>
      <c r="H45" s="192"/>
      <c r="I45" s="221"/>
      <c r="J45" s="224"/>
      <c r="K45" s="195"/>
      <c r="L45" s="227"/>
      <c r="M45" s="195">
        <f t="shared" si="39"/>
        <v>0</v>
      </c>
      <c r="N45" s="224"/>
      <c r="O45" s="195"/>
      <c r="P45" s="198"/>
      <c r="Q45" s="123">
        <v>6</v>
      </c>
      <c r="R45" s="124"/>
      <c r="S45" s="125" t="str">
        <f t="shared" si="43"/>
        <v/>
      </c>
      <c r="T45" s="126"/>
      <c r="U45" s="126"/>
      <c r="V45" s="127" t="str">
        <f t="shared" si="40"/>
        <v/>
      </c>
      <c r="W45" s="126"/>
      <c r="X45" s="126"/>
      <c r="Y45" s="126"/>
      <c r="Z45" s="128" t="str">
        <f t="shared" si="44"/>
        <v/>
      </c>
      <c r="AA45" s="129" t="str">
        <f t="shared" si="1"/>
        <v/>
      </c>
      <c r="AB45" s="130" t="str">
        <f t="shared" si="41"/>
        <v/>
      </c>
      <c r="AC45" s="129" t="str">
        <f>IFERROR(IF(AD45="","",IF(AD45&lt;=0.2,"Leve",IF(AD45&lt;=0.4,"Menor",IF(AD45&lt;=0.6,"Moderado",IF(AD45&lt;=0.8,"Mayor","Catastrófico"))))),"")</f>
        <v/>
      </c>
      <c r="AD45" s="130" t="str">
        <f t="shared" si="45"/>
        <v/>
      </c>
      <c r="AE45" s="131" t="str">
        <f>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2"/>
      <c r="AG45" s="133"/>
      <c r="AH45" s="134"/>
      <c r="AI45" s="135"/>
      <c r="AJ45" s="135"/>
      <c r="AK45" s="133"/>
      <c r="AL45" s="13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151.5" customHeight="1" x14ac:dyDescent="0.3">
      <c r="A46" s="199">
        <v>7</v>
      </c>
      <c r="B46" s="190"/>
      <c r="C46" s="190"/>
      <c r="D46" s="190"/>
      <c r="E46" s="190"/>
      <c r="F46" s="190"/>
      <c r="G46" s="202"/>
      <c r="H46" s="190"/>
      <c r="I46" s="219"/>
      <c r="J46" s="222" t="str">
        <f>IF(I46&lt;=0,"",IF(I46&lt;=2,"Muy Baja",IF(I46&lt;=24,"Baja",IF(I46&lt;=500,"Media",IF(I46&lt;=5000,"Alta","Muy Alta")))))</f>
        <v/>
      </c>
      <c r="K46" s="193" t="str">
        <f>IF(J46="","",IF(J46="Muy Baja",0.2,IF(J46="Baja",0.4,IF(J46="Media",0.6,IF(J46="Alta",0.8,IF(J46="Muy Alta",1,))))))</f>
        <v/>
      </c>
      <c r="L46" s="225"/>
      <c r="M46" s="193">
        <f>IF(NOT(ISERROR(MATCH(L46,'Tabla Impacto'!$B$221:$B$223,0))),'Tabla Impacto'!$F$223&amp;"Por favor no seleccionar los criterios de impacto(Afectación Económica o presupuestal y Pérdida Reputacional)",L46)</f>
        <v>0</v>
      </c>
      <c r="N46" s="222" t="str">
        <f>IF(OR(M46='Tabla Impacto'!$C$11,M46='Tabla Impacto'!$D$11),"Leve",IF(OR(M46='Tabla Impacto'!$C$12,M46='Tabla Impacto'!$D$12),"Menor",IF(OR(M46='Tabla Impacto'!$C$13,M46='Tabla Impacto'!$D$13),"Moderado",IF(OR(M46='Tabla Impacto'!$C$14,M46='Tabla Impacto'!$D$14),"Mayor",IF(OR(M46='Tabla Impacto'!$C$15,M46='Tabla Impacto'!$D$15),"Catastrófico","")))))</f>
        <v/>
      </c>
      <c r="O46" s="193" t="str">
        <f>IF(N46="","",IF(N46="Leve",0.2,IF(N46="Menor",0.4,IF(N46="Moderado",0.6,IF(N46="Mayor",0.8,IF(N46="Catastrófico",1,))))))</f>
        <v/>
      </c>
      <c r="P46" s="196" t="str">
        <f>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23">
        <v>1</v>
      </c>
      <c r="R46" s="124"/>
      <c r="S46" s="125" t="str">
        <f>IF(OR(T46="Preventivo",T46="Detectivo"),"Probabilidad",IF(T46="Correctivo","Impacto",""))</f>
        <v/>
      </c>
      <c r="T46" s="126"/>
      <c r="U46" s="126"/>
      <c r="V46" s="127" t="str">
        <f>IF(AND(T46="Preventivo",U46="Automático"),"50%",IF(AND(T46="Preventivo",U46="Manual"),"40%",IF(AND(T46="Detectivo",U46="Automático"),"40%",IF(AND(T46="Detectivo",U46="Manual"),"30%",IF(AND(T46="Correctivo",U46="Automático"),"35%",IF(AND(T46="Correctivo",U46="Manual"),"25%",""))))))</f>
        <v/>
      </c>
      <c r="W46" s="126"/>
      <c r="X46" s="126"/>
      <c r="Y46" s="126"/>
      <c r="Z46" s="128" t="str">
        <f>IFERROR(IF(S46="Probabilidad",(K46-(+K46*V46)),IF(S46="Impacto",K46,"")),"")</f>
        <v/>
      </c>
      <c r="AA46" s="129" t="str">
        <f>IFERROR(IF(Z46="","",IF(Z46&lt;=0.2,"Muy Baja",IF(Z46&lt;=0.4,"Baja",IF(Z46&lt;=0.6,"Media",IF(Z46&lt;=0.8,"Alta","Muy Alta"))))),"")</f>
        <v/>
      </c>
      <c r="AB46" s="130" t="str">
        <f>+Z46</f>
        <v/>
      </c>
      <c r="AC46" s="129" t="str">
        <f>IFERROR(IF(AD46="","",IF(AD46&lt;=0.2,"Leve",IF(AD46&lt;=0.4,"Menor",IF(AD46&lt;=0.6,"Moderado",IF(AD46&lt;=0.8,"Mayor","Catastrófico"))))),"")</f>
        <v/>
      </c>
      <c r="AD46" s="130" t="str">
        <f>IFERROR(IF(S46="Impacto",(O46-(+O46*V46)),IF(S46="Probabilidad",O46,"")),"")</f>
        <v/>
      </c>
      <c r="AE46" s="131"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2"/>
      <c r="AG46" s="133"/>
      <c r="AH46" s="134"/>
      <c r="AI46" s="135"/>
      <c r="AJ46" s="135"/>
      <c r="AK46" s="133"/>
      <c r="AL46" s="134"/>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51.5" customHeight="1" x14ac:dyDescent="0.3">
      <c r="A47" s="200"/>
      <c r="B47" s="191"/>
      <c r="C47" s="191"/>
      <c r="D47" s="191"/>
      <c r="E47" s="191"/>
      <c r="F47" s="191"/>
      <c r="G47" s="203"/>
      <c r="H47" s="191"/>
      <c r="I47" s="220"/>
      <c r="J47" s="223"/>
      <c r="K47" s="194"/>
      <c r="L47" s="226"/>
      <c r="M47" s="194">
        <f t="shared" ref="M47:M51" si="47">IF(NOT(ISERROR(MATCH(L47,_xlfn.ANCHORARRAY(G58),0))),K60&amp;"Por favor no seleccionar los criterios de impacto",L47)</f>
        <v>0</v>
      </c>
      <c r="N47" s="223"/>
      <c r="O47" s="194"/>
      <c r="P47" s="197"/>
      <c r="Q47" s="123">
        <v>2</v>
      </c>
      <c r="R47" s="124"/>
      <c r="S47" s="125" t="str">
        <f>IF(OR(T47="Preventivo",T47="Detectivo"),"Probabilidad",IF(T47="Correctivo","Impacto",""))</f>
        <v/>
      </c>
      <c r="T47" s="126"/>
      <c r="U47" s="126"/>
      <c r="V47" s="127" t="str">
        <f t="shared" ref="V47:V51" si="48">IF(AND(T47="Preventivo",U47="Automático"),"50%",IF(AND(T47="Preventivo",U47="Manual"),"40%",IF(AND(T47="Detectivo",U47="Automático"),"40%",IF(AND(T47="Detectivo",U47="Manual"),"30%",IF(AND(T47="Correctivo",U47="Automático"),"35%",IF(AND(T47="Correctivo",U47="Manual"),"25%",""))))))</f>
        <v/>
      </c>
      <c r="W47" s="126"/>
      <c r="X47" s="126"/>
      <c r="Y47" s="126"/>
      <c r="Z47" s="128" t="str">
        <f>IFERROR(IF(AND(S46="Probabilidad",S47="Probabilidad"),(AB46-(+AB46*V47)),IF(S47="Probabilidad",(K46-(+K46*V47)),IF(S47="Impacto",AB46,""))),"")</f>
        <v/>
      </c>
      <c r="AA47" s="129" t="str">
        <f t="shared" si="1"/>
        <v/>
      </c>
      <c r="AB47" s="130" t="str">
        <f t="shared" ref="AB47:AB51" si="49">+Z47</f>
        <v/>
      </c>
      <c r="AC47" s="129" t="str">
        <f t="shared" si="3"/>
        <v/>
      </c>
      <c r="AD47" s="130" t="str">
        <f>IFERROR(IF(AND(S46="Impacto",S47="Impacto"),(AD46-(+AD46*V47)),IF(S47="Impacto",(O46-(+O46*V47)),IF(S47="Probabilidad",AD46,""))),"")</f>
        <v/>
      </c>
      <c r="AE47" s="131" t="str">
        <f t="shared" ref="AE47:AE48" si="50">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2"/>
      <c r="AG47" s="133"/>
      <c r="AH47" s="134"/>
      <c r="AI47" s="135"/>
      <c r="AJ47" s="135"/>
      <c r="AK47" s="133"/>
      <c r="AL47" s="134"/>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151.5" customHeight="1" x14ac:dyDescent="0.3">
      <c r="A48" s="200"/>
      <c r="B48" s="191"/>
      <c r="C48" s="191"/>
      <c r="D48" s="191"/>
      <c r="E48" s="191"/>
      <c r="F48" s="191"/>
      <c r="G48" s="203"/>
      <c r="H48" s="191"/>
      <c r="I48" s="220"/>
      <c r="J48" s="223"/>
      <c r="K48" s="194"/>
      <c r="L48" s="226"/>
      <c r="M48" s="194">
        <f t="shared" si="47"/>
        <v>0</v>
      </c>
      <c r="N48" s="223"/>
      <c r="O48" s="194"/>
      <c r="P48" s="197"/>
      <c r="Q48" s="123">
        <v>3</v>
      </c>
      <c r="R48" s="136"/>
      <c r="S48" s="125" t="str">
        <f>IF(OR(T48="Preventivo",T48="Detectivo"),"Probabilidad",IF(T48="Correctivo","Impacto",""))</f>
        <v/>
      </c>
      <c r="T48" s="126"/>
      <c r="U48" s="126"/>
      <c r="V48" s="127" t="str">
        <f t="shared" si="48"/>
        <v/>
      </c>
      <c r="W48" s="126"/>
      <c r="X48" s="126"/>
      <c r="Y48" s="126"/>
      <c r="Z48" s="128" t="str">
        <f>IFERROR(IF(AND(S47="Probabilidad",S48="Probabilidad"),(AB47-(+AB47*V48)),IF(AND(S47="Impacto",S48="Probabilidad"),(AB46-(+AB46*V48)),IF(S48="Impacto",AB47,""))),"")</f>
        <v/>
      </c>
      <c r="AA48" s="129" t="str">
        <f t="shared" si="1"/>
        <v/>
      </c>
      <c r="AB48" s="130" t="str">
        <f t="shared" si="49"/>
        <v/>
      </c>
      <c r="AC48" s="129" t="str">
        <f t="shared" si="3"/>
        <v/>
      </c>
      <c r="AD48" s="130" t="str">
        <f>IFERROR(IF(AND(S47="Impacto",S48="Impacto"),(AD47-(+AD47*V48)),IF(AND(S47="Probabilidad",S48="Impacto"),(AD46-(+AD46*V48)),IF(S48="Probabilidad",AD47,""))),"")</f>
        <v/>
      </c>
      <c r="AE48" s="131" t="str">
        <f t="shared" si="50"/>
        <v/>
      </c>
      <c r="AF48" s="132"/>
      <c r="AG48" s="133"/>
      <c r="AH48" s="134"/>
      <c r="AI48" s="135"/>
      <c r="AJ48" s="135"/>
      <c r="AK48" s="133"/>
      <c r="AL48" s="134"/>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151.5" customHeight="1" x14ac:dyDescent="0.3">
      <c r="A49" s="200"/>
      <c r="B49" s="191"/>
      <c r="C49" s="191"/>
      <c r="D49" s="191"/>
      <c r="E49" s="191"/>
      <c r="F49" s="191"/>
      <c r="G49" s="203"/>
      <c r="H49" s="191"/>
      <c r="I49" s="220"/>
      <c r="J49" s="223"/>
      <c r="K49" s="194"/>
      <c r="L49" s="226"/>
      <c r="M49" s="194">
        <f t="shared" si="47"/>
        <v>0</v>
      </c>
      <c r="N49" s="223"/>
      <c r="O49" s="194"/>
      <c r="P49" s="197"/>
      <c r="Q49" s="123">
        <v>4</v>
      </c>
      <c r="R49" s="124"/>
      <c r="S49" s="125" t="str">
        <f t="shared" ref="S49:S51" si="51">IF(OR(T49="Preventivo",T49="Detectivo"),"Probabilidad",IF(T49="Correctivo","Impacto",""))</f>
        <v/>
      </c>
      <c r="T49" s="126"/>
      <c r="U49" s="126"/>
      <c r="V49" s="127" t="str">
        <f t="shared" si="48"/>
        <v/>
      </c>
      <c r="W49" s="126"/>
      <c r="X49" s="126"/>
      <c r="Y49" s="126"/>
      <c r="Z49" s="128" t="str">
        <f t="shared" ref="Z49:Z51" si="52">IFERROR(IF(AND(S48="Probabilidad",S49="Probabilidad"),(AB48-(+AB48*V49)),IF(AND(S48="Impacto",S49="Probabilidad"),(AB47-(+AB47*V49)),IF(S49="Impacto",AB48,""))),"")</f>
        <v/>
      </c>
      <c r="AA49" s="129" t="str">
        <f t="shared" si="1"/>
        <v/>
      </c>
      <c r="AB49" s="130" t="str">
        <f t="shared" si="49"/>
        <v/>
      </c>
      <c r="AC49" s="129" t="str">
        <f t="shared" si="3"/>
        <v/>
      </c>
      <c r="AD49" s="130" t="str">
        <f t="shared" ref="AD49:AD51" si="53">IFERROR(IF(AND(S48="Impacto",S49="Impacto"),(AD48-(+AD48*V49)),IF(AND(S48="Probabilidad",S49="Impacto"),(AD47-(+AD47*V49)),IF(S49="Probabilidad",AD48,""))),"")</f>
        <v/>
      </c>
      <c r="AE49" s="131"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32"/>
      <c r="AG49" s="133"/>
      <c r="AH49" s="134"/>
      <c r="AI49" s="135"/>
      <c r="AJ49" s="135"/>
      <c r="AK49" s="133"/>
      <c r="AL49" s="134"/>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151.5" customHeight="1" x14ac:dyDescent="0.3">
      <c r="A50" s="200"/>
      <c r="B50" s="191"/>
      <c r="C50" s="191"/>
      <c r="D50" s="191"/>
      <c r="E50" s="191"/>
      <c r="F50" s="191"/>
      <c r="G50" s="203"/>
      <c r="H50" s="191"/>
      <c r="I50" s="220"/>
      <c r="J50" s="223"/>
      <c r="K50" s="194"/>
      <c r="L50" s="226"/>
      <c r="M50" s="194">
        <f t="shared" si="47"/>
        <v>0</v>
      </c>
      <c r="N50" s="223"/>
      <c r="O50" s="194"/>
      <c r="P50" s="197"/>
      <c r="Q50" s="123">
        <v>5</v>
      </c>
      <c r="R50" s="124"/>
      <c r="S50" s="125" t="str">
        <f t="shared" si="51"/>
        <v/>
      </c>
      <c r="T50" s="126"/>
      <c r="U50" s="126"/>
      <c r="V50" s="127" t="str">
        <f t="shared" si="48"/>
        <v/>
      </c>
      <c r="W50" s="126"/>
      <c r="X50" s="126"/>
      <c r="Y50" s="126"/>
      <c r="Z50" s="128" t="str">
        <f t="shared" si="52"/>
        <v/>
      </c>
      <c r="AA50" s="129" t="str">
        <f t="shared" si="1"/>
        <v/>
      </c>
      <c r="AB50" s="130" t="str">
        <f t="shared" si="49"/>
        <v/>
      </c>
      <c r="AC50" s="129" t="str">
        <f t="shared" si="3"/>
        <v/>
      </c>
      <c r="AD50" s="130" t="str">
        <f t="shared" si="53"/>
        <v/>
      </c>
      <c r="AE50" s="131" t="str">
        <f t="shared" ref="AE50:AE51" si="54">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2"/>
      <c r="AG50" s="133"/>
      <c r="AH50" s="134"/>
      <c r="AI50" s="135"/>
      <c r="AJ50" s="135"/>
      <c r="AK50" s="133"/>
      <c r="AL50" s="13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151.5" customHeight="1" x14ac:dyDescent="0.3">
      <c r="A51" s="201"/>
      <c r="B51" s="192"/>
      <c r="C51" s="192"/>
      <c r="D51" s="192"/>
      <c r="E51" s="192"/>
      <c r="F51" s="192"/>
      <c r="G51" s="204"/>
      <c r="H51" s="192"/>
      <c r="I51" s="221"/>
      <c r="J51" s="224"/>
      <c r="K51" s="195"/>
      <c r="L51" s="227"/>
      <c r="M51" s="195">
        <f t="shared" si="47"/>
        <v>0</v>
      </c>
      <c r="N51" s="224"/>
      <c r="O51" s="195"/>
      <c r="P51" s="198"/>
      <c r="Q51" s="123">
        <v>6</v>
      </c>
      <c r="R51" s="124"/>
      <c r="S51" s="125" t="str">
        <f t="shared" si="51"/>
        <v/>
      </c>
      <c r="T51" s="126"/>
      <c r="U51" s="126"/>
      <c r="V51" s="127" t="str">
        <f t="shared" si="48"/>
        <v/>
      </c>
      <c r="W51" s="126"/>
      <c r="X51" s="126"/>
      <c r="Y51" s="126"/>
      <c r="Z51" s="128" t="str">
        <f t="shared" si="52"/>
        <v/>
      </c>
      <c r="AA51" s="129" t="str">
        <f t="shared" si="1"/>
        <v/>
      </c>
      <c r="AB51" s="130" t="str">
        <f t="shared" si="49"/>
        <v/>
      </c>
      <c r="AC51" s="129" t="str">
        <f t="shared" si="3"/>
        <v/>
      </c>
      <c r="AD51" s="130" t="str">
        <f t="shared" si="53"/>
        <v/>
      </c>
      <c r="AE51" s="131" t="str">
        <f t="shared" si="54"/>
        <v/>
      </c>
      <c r="AF51" s="132"/>
      <c r="AG51" s="133"/>
      <c r="AH51" s="134"/>
      <c r="AI51" s="135"/>
      <c r="AJ51" s="135"/>
      <c r="AK51" s="133"/>
      <c r="AL51" s="13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151.5" customHeight="1" x14ac:dyDescent="0.3">
      <c r="A52" s="199">
        <v>8</v>
      </c>
      <c r="B52" s="190"/>
      <c r="C52" s="190"/>
      <c r="D52" s="190"/>
      <c r="E52" s="190"/>
      <c r="F52" s="190"/>
      <c r="G52" s="202"/>
      <c r="H52" s="190"/>
      <c r="I52" s="219"/>
      <c r="J52" s="222" t="str">
        <f>IF(I52&lt;=0,"",IF(I52&lt;=2,"Muy Baja",IF(I52&lt;=24,"Baja",IF(I52&lt;=500,"Media",IF(I52&lt;=5000,"Alta","Muy Alta")))))</f>
        <v/>
      </c>
      <c r="K52" s="193" t="str">
        <f>IF(J52="","",IF(J52="Muy Baja",0.2,IF(J52="Baja",0.4,IF(J52="Media",0.6,IF(J52="Alta",0.8,IF(J52="Muy Alta",1,))))))</f>
        <v/>
      </c>
      <c r="L52" s="225"/>
      <c r="M52" s="193">
        <f>IF(NOT(ISERROR(MATCH(L52,'Tabla Impacto'!$B$221:$B$223,0))),'Tabla Impacto'!$F$223&amp;"Por favor no seleccionar los criterios de impacto(Afectación Económica o presupuestal y Pérdida Reputacional)",L52)</f>
        <v>0</v>
      </c>
      <c r="N52" s="222" t="str">
        <f>IF(OR(M52='Tabla Impacto'!$C$11,M52='Tabla Impacto'!$D$11),"Leve",IF(OR(M52='Tabla Impacto'!$C$12,M52='Tabla Impacto'!$D$12),"Menor",IF(OR(M52='Tabla Impacto'!$C$13,M52='Tabla Impacto'!$D$13),"Moderado",IF(OR(M52='Tabla Impacto'!$C$14,M52='Tabla Impacto'!$D$14),"Mayor",IF(OR(M52='Tabla Impacto'!$C$15,M52='Tabla Impacto'!$D$15),"Catastrófico","")))))</f>
        <v/>
      </c>
      <c r="O52" s="193" t="str">
        <f>IF(N52="","",IF(N52="Leve",0.2,IF(N52="Menor",0.4,IF(N52="Moderado",0.6,IF(N52="Mayor",0.8,IF(N52="Catastrófico",1,))))))</f>
        <v/>
      </c>
      <c r="P52" s="196" t="str">
        <f>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23">
        <v>1</v>
      </c>
      <c r="R52" s="124"/>
      <c r="S52" s="125" t="str">
        <f>IF(OR(T52="Preventivo",T52="Detectivo"),"Probabilidad",IF(T52="Correctivo","Impacto",""))</f>
        <v/>
      </c>
      <c r="T52" s="126"/>
      <c r="U52" s="126"/>
      <c r="V52" s="127" t="str">
        <f>IF(AND(T52="Preventivo",U52="Automático"),"50%",IF(AND(T52="Preventivo",U52="Manual"),"40%",IF(AND(T52="Detectivo",U52="Automático"),"40%",IF(AND(T52="Detectivo",U52="Manual"),"30%",IF(AND(T52="Correctivo",U52="Automático"),"35%",IF(AND(T52="Correctivo",U52="Manual"),"25%",""))))))</f>
        <v/>
      </c>
      <c r="W52" s="126"/>
      <c r="X52" s="126"/>
      <c r="Y52" s="126"/>
      <c r="Z52" s="128" t="str">
        <f>IFERROR(IF(S52="Probabilidad",(K52-(+K52*V52)),IF(S52="Impacto",K52,"")),"")</f>
        <v/>
      </c>
      <c r="AA52" s="129" t="str">
        <f>IFERROR(IF(Z52="","",IF(Z52&lt;=0.2,"Muy Baja",IF(Z52&lt;=0.4,"Baja",IF(Z52&lt;=0.6,"Media",IF(Z52&lt;=0.8,"Alta","Muy Alta"))))),"")</f>
        <v/>
      </c>
      <c r="AB52" s="130" t="str">
        <f>+Z52</f>
        <v/>
      </c>
      <c r="AC52" s="129" t="str">
        <f>IFERROR(IF(AD52="","",IF(AD52&lt;=0.2,"Leve",IF(AD52&lt;=0.4,"Menor",IF(AD52&lt;=0.6,"Moderado",IF(AD52&lt;=0.8,"Mayor","Catastrófico"))))),"")</f>
        <v/>
      </c>
      <c r="AD52" s="130" t="str">
        <f>IFERROR(IF(S52="Impacto",(O52-(+O52*V52)),IF(S52="Probabilidad",O52,"")),"")</f>
        <v/>
      </c>
      <c r="AE52" s="131"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32"/>
      <c r="AG52" s="133"/>
      <c r="AH52" s="134"/>
      <c r="AI52" s="135"/>
      <c r="AJ52" s="135"/>
      <c r="AK52" s="133"/>
      <c r="AL52" s="134"/>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151.5" customHeight="1" x14ac:dyDescent="0.3">
      <c r="A53" s="200"/>
      <c r="B53" s="191"/>
      <c r="C53" s="191"/>
      <c r="D53" s="191"/>
      <c r="E53" s="191"/>
      <c r="F53" s="191"/>
      <c r="G53" s="203"/>
      <c r="H53" s="191"/>
      <c r="I53" s="220"/>
      <c r="J53" s="223"/>
      <c r="K53" s="194"/>
      <c r="L53" s="226"/>
      <c r="M53" s="194">
        <f>IF(NOT(ISERROR(MATCH(L53,_xlfn.ANCHORARRAY(G64),0))),K66&amp;"Por favor no seleccionar los criterios de impacto",L53)</f>
        <v>0</v>
      </c>
      <c r="N53" s="223"/>
      <c r="O53" s="194"/>
      <c r="P53" s="197"/>
      <c r="Q53" s="123">
        <v>2</v>
      </c>
      <c r="R53" s="124"/>
      <c r="S53" s="125" t="str">
        <f>IF(OR(T53="Preventivo",T53="Detectivo"),"Probabilidad",IF(T53="Correctivo","Impacto",""))</f>
        <v/>
      </c>
      <c r="T53" s="126"/>
      <c r="U53" s="126"/>
      <c r="V53" s="127" t="str">
        <f t="shared" ref="V53:V57" si="55">IF(AND(T53="Preventivo",U53="Automático"),"50%",IF(AND(T53="Preventivo",U53="Manual"),"40%",IF(AND(T53="Detectivo",U53="Automático"),"40%",IF(AND(T53="Detectivo",U53="Manual"),"30%",IF(AND(T53="Correctivo",U53="Automático"),"35%",IF(AND(T53="Correctivo",U53="Manual"),"25%",""))))))</f>
        <v/>
      </c>
      <c r="W53" s="126"/>
      <c r="X53" s="126"/>
      <c r="Y53" s="126"/>
      <c r="Z53" s="128" t="str">
        <f>IFERROR(IF(AND(S52="Probabilidad",S53="Probabilidad"),(AB52-(+AB52*V53)),IF(S53="Probabilidad",(K52-(+K52*V53)),IF(S53="Impacto",AB52,""))),"")</f>
        <v/>
      </c>
      <c r="AA53" s="129" t="str">
        <f t="shared" si="1"/>
        <v/>
      </c>
      <c r="AB53" s="130" t="str">
        <f t="shared" ref="AB53:AB57" si="56">+Z53</f>
        <v/>
      </c>
      <c r="AC53" s="129" t="str">
        <f t="shared" si="3"/>
        <v/>
      </c>
      <c r="AD53" s="130" t="str">
        <f>IFERROR(IF(AND(S52="Impacto",S53="Impacto"),(AD52-(+AD52*V53)),IF(S53="Impacto",(O52-(+O52*V53)),IF(S53="Probabilidad",AD52,""))),"")</f>
        <v/>
      </c>
      <c r="AE53" s="131" t="str">
        <f t="shared" ref="AE53:AE54" si="57">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2"/>
      <c r="AG53" s="133"/>
      <c r="AH53" s="134"/>
      <c r="AI53" s="135"/>
      <c r="AJ53" s="135"/>
      <c r="AK53" s="133"/>
      <c r="AL53" s="134"/>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151.5" customHeight="1" x14ac:dyDescent="0.3">
      <c r="A54" s="200"/>
      <c r="B54" s="191"/>
      <c r="C54" s="191"/>
      <c r="D54" s="191"/>
      <c r="E54" s="191"/>
      <c r="F54" s="191"/>
      <c r="G54" s="203"/>
      <c r="H54" s="191"/>
      <c r="I54" s="220"/>
      <c r="J54" s="223"/>
      <c r="K54" s="194"/>
      <c r="L54" s="226"/>
      <c r="M54" s="194">
        <f>IF(NOT(ISERROR(MATCH(L54,_xlfn.ANCHORARRAY(G65),0))),K67&amp;"Por favor no seleccionar los criterios de impacto",L54)</f>
        <v>0</v>
      </c>
      <c r="N54" s="223"/>
      <c r="O54" s="194"/>
      <c r="P54" s="197"/>
      <c r="Q54" s="123">
        <v>3</v>
      </c>
      <c r="R54" s="136"/>
      <c r="S54" s="125" t="str">
        <f>IF(OR(T54="Preventivo",T54="Detectivo"),"Probabilidad",IF(T54="Correctivo","Impacto",""))</f>
        <v/>
      </c>
      <c r="T54" s="126"/>
      <c r="U54" s="126"/>
      <c r="V54" s="127" t="str">
        <f t="shared" si="55"/>
        <v/>
      </c>
      <c r="W54" s="126"/>
      <c r="X54" s="126"/>
      <c r="Y54" s="126"/>
      <c r="Z54" s="128" t="str">
        <f>IFERROR(IF(AND(S53="Probabilidad",S54="Probabilidad"),(AB53-(+AB53*V54)),IF(AND(S53="Impacto",S54="Probabilidad"),(AB52-(+AB52*V54)),IF(S54="Impacto",AB53,""))),"")</f>
        <v/>
      </c>
      <c r="AA54" s="129" t="str">
        <f t="shared" si="1"/>
        <v/>
      </c>
      <c r="AB54" s="130" t="str">
        <f t="shared" si="56"/>
        <v/>
      </c>
      <c r="AC54" s="129" t="str">
        <f t="shared" si="3"/>
        <v/>
      </c>
      <c r="AD54" s="130" t="str">
        <f>IFERROR(IF(AND(S53="Impacto",S54="Impacto"),(AD53-(+AD53*V54)),IF(AND(S53="Probabilidad",S54="Impacto"),(AD52-(+AD52*V54)),IF(S54="Probabilidad",AD53,""))),"")</f>
        <v/>
      </c>
      <c r="AE54" s="131" t="str">
        <f t="shared" si="57"/>
        <v/>
      </c>
      <c r="AF54" s="132"/>
      <c r="AG54" s="133"/>
      <c r="AH54" s="134"/>
      <c r="AI54" s="135"/>
      <c r="AJ54" s="135"/>
      <c r="AK54" s="133"/>
      <c r="AL54" s="134"/>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151.5" customHeight="1" x14ac:dyDescent="0.3">
      <c r="A55" s="200"/>
      <c r="B55" s="191"/>
      <c r="C55" s="191"/>
      <c r="D55" s="191"/>
      <c r="E55" s="191"/>
      <c r="F55" s="191"/>
      <c r="G55" s="203"/>
      <c r="H55" s="191"/>
      <c r="I55" s="220"/>
      <c r="J55" s="223"/>
      <c r="K55" s="194"/>
      <c r="L55" s="226"/>
      <c r="M55" s="194">
        <f>IF(NOT(ISERROR(MATCH(L55,_xlfn.ANCHORARRAY(G66),0))),K68&amp;"Por favor no seleccionar los criterios de impacto",L55)</f>
        <v>0</v>
      </c>
      <c r="N55" s="223"/>
      <c r="O55" s="194"/>
      <c r="P55" s="197"/>
      <c r="Q55" s="123">
        <v>4</v>
      </c>
      <c r="R55" s="124"/>
      <c r="S55" s="125" t="str">
        <f t="shared" ref="S55:S57" si="58">IF(OR(T55="Preventivo",T55="Detectivo"),"Probabilidad",IF(T55="Correctivo","Impacto",""))</f>
        <v/>
      </c>
      <c r="T55" s="126"/>
      <c r="U55" s="126"/>
      <c r="V55" s="127" t="str">
        <f t="shared" si="55"/>
        <v/>
      </c>
      <c r="W55" s="126"/>
      <c r="X55" s="126"/>
      <c r="Y55" s="126"/>
      <c r="Z55" s="128" t="str">
        <f t="shared" ref="Z55:Z57" si="59">IFERROR(IF(AND(S54="Probabilidad",S55="Probabilidad"),(AB54-(+AB54*V55)),IF(AND(S54="Impacto",S55="Probabilidad"),(AB53-(+AB53*V55)),IF(S55="Impacto",AB54,""))),"")</f>
        <v/>
      </c>
      <c r="AA55" s="129" t="str">
        <f t="shared" si="1"/>
        <v/>
      </c>
      <c r="AB55" s="130" t="str">
        <f t="shared" si="56"/>
        <v/>
      </c>
      <c r="AC55" s="129" t="str">
        <f t="shared" si="3"/>
        <v/>
      </c>
      <c r="AD55" s="130" t="str">
        <f t="shared" ref="AD55:AD57" si="60">IFERROR(IF(AND(S54="Impacto",S55="Impacto"),(AD54-(+AD54*V55)),IF(AND(S54="Probabilidad",S55="Impacto"),(AD53-(+AD53*V55)),IF(S55="Probabilidad",AD54,""))),"")</f>
        <v/>
      </c>
      <c r="AE55" s="131"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32"/>
      <c r="AG55" s="133"/>
      <c r="AH55" s="134"/>
      <c r="AI55" s="135"/>
      <c r="AJ55" s="135"/>
      <c r="AK55" s="133"/>
      <c r="AL55" s="134"/>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151.5" customHeight="1" x14ac:dyDescent="0.3">
      <c r="A56" s="200"/>
      <c r="B56" s="191"/>
      <c r="C56" s="191"/>
      <c r="D56" s="191"/>
      <c r="E56" s="191"/>
      <c r="F56" s="191"/>
      <c r="G56" s="203"/>
      <c r="H56" s="191"/>
      <c r="I56" s="220"/>
      <c r="J56" s="223"/>
      <c r="K56" s="194"/>
      <c r="L56" s="226"/>
      <c r="M56" s="194">
        <f>IF(NOT(ISERROR(MATCH(L56,_xlfn.ANCHORARRAY(G67),0))),K69&amp;"Por favor no seleccionar los criterios de impacto",L56)</f>
        <v>0</v>
      </c>
      <c r="N56" s="223"/>
      <c r="O56" s="194"/>
      <c r="P56" s="197"/>
      <c r="Q56" s="123">
        <v>5</v>
      </c>
      <c r="R56" s="124"/>
      <c r="S56" s="125" t="str">
        <f t="shared" si="58"/>
        <v/>
      </c>
      <c r="T56" s="126"/>
      <c r="U56" s="126"/>
      <c r="V56" s="127" t="str">
        <f t="shared" si="55"/>
        <v/>
      </c>
      <c r="W56" s="126"/>
      <c r="X56" s="126"/>
      <c r="Y56" s="126"/>
      <c r="Z56" s="128" t="str">
        <f t="shared" si="59"/>
        <v/>
      </c>
      <c r="AA56" s="129" t="str">
        <f t="shared" si="1"/>
        <v/>
      </c>
      <c r="AB56" s="130" t="str">
        <f t="shared" si="56"/>
        <v/>
      </c>
      <c r="AC56" s="129" t="str">
        <f t="shared" si="3"/>
        <v/>
      </c>
      <c r="AD56" s="130" t="str">
        <f t="shared" si="60"/>
        <v/>
      </c>
      <c r="AE56" s="131" t="str">
        <f t="shared" ref="AE56:AE57" si="61">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2"/>
      <c r="AG56" s="133"/>
      <c r="AH56" s="134"/>
      <c r="AI56" s="135"/>
      <c r="AJ56" s="135"/>
      <c r="AK56" s="133"/>
      <c r="AL56" s="134"/>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51.5" customHeight="1" x14ac:dyDescent="0.3">
      <c r="A57" s="201"/>
      <c r="B57" s="192"/>
      <c r="C57" s="192"/>
      <c r="D57" s="192"/>
      <c r="E57" s="192"/>
      <c r="F57" s="192"/>
      <c r="G57" s="204"/>
      <c r="H57" s="192"/>
      <c r="I57" s="221"/>
      <c r="J57" s="224"/>
      <c r="K57" s="195"/>
      <c r="L57" s="227"/>
      <c r="M57" s="195">
        <f>IF(NOT(ISERROR(MATCH(L57,_xlfn.ANCHORARRAY(G68),0))),K70&amp;"Por favor no seleccionar los criterios de impacto",L57)</f>
        <v>0</v>
      </c>
      <c r="N57" s="224"/>
      <c r="O57" s="195"/>
      <c r="P57" s="198"/>
      <c r="Q57" s="123">
        <v>6</v>
      </c>
      <c r="R57" s="124"/>
      <c r="S57" s="125" t="str">
        <f t="shared" si="58"/>
        <v/>
      </c>
      <c r="T57" s="126"/>
      <c r="U57" s="126"/>
      <c r="V57" s="127" t="str">
        <f t="shared" si="55"/>
        <v/>
      </c>
      <c r="W57" s="126"/>
      <c r="X57" s="126"/>
      <c r="Y57" s="126"/>
      <c r="Z57" s="128" t="str">
        <f t="shared" si="59"/>
        <v/>
      </c>
      <c r="AA57" s="129" t="str">
        <f t="shared" si="1"/>
        <v/>
      </c>
      <c r="AB57" s="130" t="str">
        <f t="shared" si="56"/>
        <v/>
      </c>
      <c r="AC57" s="129" t="str">
        <f t="shared" si="3"/>
        <v/>
      </c>
      <c r="AD57" s="130" t="str">
        <f t="shared" si="60"/>
        <v/>
      </c>
      <c r="AE57" s="131" t="str">
        <f t="shared" si="61"/>
        <v/>
      </c>
      <c r="AF57" s="132"/>
      <c r="AG57" s="133"/>
      <c r="AH57" s="134"/>
      <c r="AI57" s="135"/>
      <c r="AJ57" s="135"/>
      <c r="AK57" s="133"/>
      <c r="AL57" s="134"/>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51.5" customHeight="1" x14ac:dyDescent="0.3">
      <c r="A58" s="199">
        <v>9</v>
      </c>
      <c r="B58" s="190"/>
      <c r="C58" s="190"/>
      <c r="D58" s="190"/>
      <c r="E58" s="190"/>
      <c r="F58" s="190"/>
      <c r="G58" s="202"/>
      <c r="H58" s="190"/>
      <c r="I58" s="219"/>
      <c r="J58" s="222" t="str">
        <f>IF(I58&lt;=0,"",IF(I58&lt;=2,"Muy Baja",IF(I58&lt;=24,"Baja",IF(I58&lt;=500,"Media",IF(I58&lt;=5000,"Alta","Muy Alta")))))</f>
        <v/>
      </c>
      <c r="K58" s="193" t="str">
        <f>IF(J58="","",IF(J58="Muy Baja",0.2,IF(J58="Baja",0.4,IF(J58="Media",0.6,IF(J58="Alta",0.8,IF(J58="Muy Alta",1,))))))</f>
        <v/>
      </c>
      <c r="L58" s="225"/>
      <c r="M58" s="193">
        <f>IF(NOT(ISERROR(MATCH(L58,'Tabla Impacto'!$B$221:$B$223,0))),'Tabla Impacto'!$F$223&amp;"Por favor no seleccionar los criterios de impacto(Afectación Económica o presupuestal y Pérdida Reputacional)",L58)</f>
        <v>0</v>
      </c>
      <c r="N58" s="222" t="str">
        <f>IF(OR(M58='Tabla Impacto'!$C$11,M58='Tabla Impacto'!$D$11),"Leve",IF(OR(M58='Tabla Impacto'!$C$12,M58='Tabla Impacto'!$D$12),"Menor",IF(OR(M58='Tabla Impacto'!$C$13,M58='Tabla Impacto'!$D$13),"Moderado",IF(OR(M58='Tabla Impacto'!$C$14,M58='Tabla Impacto'!$D$14),"Mayor",IF(OR(M58='Tabla Impacto'!$C$15,M58='Tabla Impacto'!$D$15),"Catastrófico","")))))</f>
        <v/>
      </c>
      <c r="O58" s="193" t="str">
        <f>IF(N58="","",IF(N58="Leve",0.2,IF(N58="Menor",0.4,IF(N58="Moderado",0.6,IF(N58="Mayor",0.8,IF(N58="Catastrófico",1,))))))</f>
        <v/>
      </c>
      <c r="P58" s="196" t="str">
        <f>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23">
        <v>1</v>
      </c>
      <c r="R58" s="124"/>
      <c r="S58" s="125" t="str">
        <f>IF(OR(T58="Preventivo",T58="Detectivo"),"Probabilidad",IF(T58="Correctivo","Impacto",""))</f>
        <v/>
      </c>
      <c r="T58" s="126"/>
      <c r="U58" s="126"/>
      <c r="V58" s="127" t="str">
        <f>IF(AND(T58="Preventivo",U58="Automático"),"50%",IF(AND(T58="Preventivo",U58="Manual"),"40%",IF(AND(T58="Detectivo",U58="Automático"),"40%",IF(AND(T58="Detectivo",U58="Manual"),"30%",IF(AND(T58="Correctivo",U58="Automático"),"35%",IF(AND(T58="Correctivo",U58="Manual"),"25%",""))))))</f>
        <v/>
      </c>
      <c r="W58" s="126"/>
      <c r="X58" s="126"/>
      <c r="Y58" s="126"/>
      <c r="Z58" s="128" t="str">
        <f>IFERROR(IF(S58="Probabilidad",(K58-(+K58*V58)),IF(S58="Impacto",K58,"")),"")</f>
        <v/>
      </c>
      <c r="AA58" s="129" t="str">
        <f>IFERROR(IF(Z58="","",IF(Z58&lt;=0.2,"Muy Baja",IF(Z58&lt;=0.4,"Baja",IF(Z58&lt;=0.6,"Media",IF(Z58&lt;=0.8,"Alta","Muy Alta"))))),"")</f>
        <v/>
      </c>
      <c r="AB58" s="130" t="str">
        <f>+Z58</f>
        <v/>
      </c>
      <c r="AC58" s="129" t="str">
        <f>IFERROR(IF(AD58="","",IF(AD58&lt;=0.2,"Leve",IF(AD58&lt;=0.4,"Menor",IF(AD58&lt;=0.6,"Moderado",IF(AD58&lt;=0.8,"Mayor","Catastrófico"))))),"")</f>
        <v/>
      </c>
      <c r="AD58" s="130" t="str">
        <f>IFERROR(IF(S58="Impacto",(O58-(+O58*V58)),IF(S58="Probabilidad",O58,"")),"")</f>
        <v/>
      </c>
      <c r="AE58" s="131"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32"/>
      <c r="AG58" s="133"/>
      <c r="AH58" s="134"/>
      <c r="AI58" s="135"/>
      <c r="AJ58" s="135"/>
      <c r="AK58" s="133"/>
      <c r="AL58" s="134"/>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51.5" customHeight="1" x14ac:dyDescent="0.3">
      <c r="A59" s="200"/>
      <c r="B59" s="191"/>
      <c r="C59" s="191"/>
      <c r="D59" s="191"/>
      <c r="E59" s="191"/>
      <c r="F59" s="191"/>
      <c r="G59" s="203"/>
      <c r="H59" s="191"/>
      <c r="I59" s="220"/>
      <c r="J59" s="223"/>
      <c r="K59" s="194"/>
      <c r="L59" s="226"/>
      <c r="M59" s="194">
        <f>IF(NOT(ISERROR(MATCH(L59,_xlfn.ANCHORARRAY(G70),0))),K72&amp;"Por favor no seleccionar los criterios de impacto",L59)</f>
        <v>0</v>
      </c>
      <c r="N59" s="223"/>
      <c r="O59" s="194"/>
      <c r="P59" s="197"/>
      <c r="Q59" s="123">
        <v>2</v>
      </c>
      <c r="R59" s="124"/>
      <c r="S59" s="125" t="str">
        <f>IF(OR(T59="Preventivo",T59="Detectivo"),"Probabilidad",IF(T59="Correctivo","Impacto",""))</f>
        <v/>
      </c>
      <c r="T59" s="126"/>
      <c r="U59" s="126"/>
      <c r="V59" s="127" t="str">
        <f t="shared" ref="V59:V63" si="62">IF(AND(T59="Preventivo",U59="Automático"),"50%",IF(AND(T59="Preventivo",U59="Manual"),"40%",IF(AND(T59="Detectivo",U59="Automático"),"40%",IF(AND(T59="Detectivo",U59="Manual"),"30%",IF(AND(T59="Correctivo",U59="Automático"),"35%",IF(AND(T59="Correctivo",U59="Manual"),"25%",""))))))</f>
        <v/>
      </c>
      <c r="W59" s="126"/>
      <c r="X59" s="126"/>
      <c r="Y59" s="126"/>
      <c r="Z59" s="128" t="str">
        <f>IFERROR(IF(AND(S58="Probabilidad",S59="Probabilidad"),(AB58-(+AB58*V59)),IF(S59="Probabilidad",(K58-(+K58*V59)),IF(S59="Impacto",AB58,""))),"")</f>
        <v/>
      </c>
      <c r="AA59" s="129" t="str">
        <f t="shared" si="1"/>
        <v/>
      </c>
      <c r="AB59" s="130" t="str">
        <f t="shared" ref="AB59:AB63" si="63">+Z59</f>
        <v/>
      </c>
      <c r="AC59" s="129" t="str">
        <f t="shared" si="3"/>
        <v/>
      </c>
      <c r="AD59" s="130" t="str">
        <f>IFERROR(IF(AND(S58="Impacto",S59="Impacto"),(AD58-(+AD58*V59)),IF(S59="Impacto",(O58-(+O58*V59)),IF(S59="Probabilidad",AD58,""))),"")</f>
        <v/>
      </c>
      <c r="AE59" s="131" t="str">
        <f t="shared" ref="AE59:AE60" si="64">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2"/>
      <c r="AG59" s="133"/>
      <c r="AH59" s="134"/>
      <c r="AI59" s="135"/>
      <c r="AJ59" s="135"/>
      <c r="AK59" s="133"/>
      <c r="AL59" s="134"/>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51.5" customHeight="1" x14ac:dyDescent="0.3">
      <c r="A60" s="200"/>
      <c r="B60" s="191"/>
      <c r="C60" s="191"/>
      <c r="D60" s="191"/>
      <c r="E60" s="191"/>
      <c r="F60" s="191"/>
      <c r="G60" s="203"/>
      <c r="H60" s="191"/>
      <c r="I60" s="220"/>
      <c r="J60" s="223"/>
      <c r="K60" s="194"/>
      <c r="L60" s="226"/>
      <c r="M60" s="194">
        <f>IF(NOT(ISERROR(MATCH(L60,_xlfn.ANCHORARRAY(G71),0))),K73&amp;"Por favor no seleccionar los criterios de impacto",L60)</f>
        <v>0</v>
      </c>
      <c r="N60" s="223"/>
      <c r="O60" s="194"/>
      <c r="P60" s="197"/>
      <c r="Q60" s="123">
        <v>3</v>
      </c>
      <c r="R60" s="136"/>
      <c r="S60" s="125" t="str">
        <f>IF(OR(T60="Preventivo",T60="Detectivo"),"Probabilidad",IF(T60="Correctivo","Impacto",""))</f>
        <v/>
      </c>
      <c r="T60" s="126"/>
      <c r="U60" s="126"/>
      <c r="V60" s="127" t="str">
        <f t="shared" si="62"/>
        <v/>
      </c>
      <c r="W60" s="126"/>
      <c r="X60" s="126"/>
      <c r="Y60" s="126"/>
      <c r="Z60" s="128" t="str">
        <f>IFERROR(IF(AND(S59="Probabilidad",S60="Probabilidad"),(AB59-(+AB59*V60)),IF(AND(S59="Impacto",S60="Probabilidad"),(AB58-(+AB58*V60)),IF(S60="Impacto",AB59,""))),"")</f>
        <v/>
      </c>
      <c r="AA60" s="129" t="str">
        <f t="shared" si="1"/>
        <v/>
      </c>
      <c r="AB60" s="130" t="str">
        <f t="shared" si="63"/>
        <v/>
      </c>
      <c r="AC60" s="129" t="str">
        <f t="shared" si="3"/>
        <v/>
      </c>
      <c r="AD60" s="130" t="str">
        <f>IFERROR(IF(AND(S59="Impacto",S60="Impacto"),(AD59-(+AD59*V60)),IF(AND(S59="Probabilidad",S60="Impacto"),(AD58-(+AD58*V60)),IF(S60="Probabilidad",AD59,""))),"")</f>
        <v/>
      </c>
      <c r="AE60" s="131" t="str">
        <f t="shared" si="64"/>
        <v/>
      </c>
      <c r="AF60" s="132"/>
      <c r="AG60" s="133"/>
      <c r="AH60" s="134"/>
      <c r="AI60" s="135"/>
      <c r="AJ60" s="135"/>
      <c r="AK60" s="133"/>
      <c r="AL60" s="134"/>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51.5" customHeight="1" x14ac:dyDescent="0.3">
      <c r="A61" s="200"/>
      <c r="B61" s="191"/>
      <c r="C61" s="191"/>
      <c r="D61" s="191"/>
      <c r="E61" s="191"/>
      <c r="F61" s="191"/>
      <c r="G61" s="203"/>
      <c r="H61" s="191"/>
      <c r="I61" s="220"/>
      <c r="J61" s="223"/>
      <c r="K61" s="194"/>
      <c r="L61" s="226"/>
      <c r="M61" s="194">
        <f>IF(NOT(ISERROR(MATCH(L61,_xlfn.ANCHORARRAY(G72),0))),K74&amp;"Por favor no seleccionar los criterios de impacto",L61)</f>
        <v>0</v>
      </c>
      <c r="N61" s="223"/>
      <c r="O61" s="194"/>
      <c r="P61" s="197"/>
      <c r="Q61" s="123">
        <v>4</v>
      </c>
      <c r="R61" s="124"/>
      <c r="S61" s="125" t="str">
        <f t="shared" ref="S61:S63" si="65">IF(OR(T61="Preventivo",T61="Detectivo"),"Probabilidad",IF(T61="Correctivo","Impacto",""))</f>
        <v/>
      </c>
      <c r="T61" s="126"/>
      <c r="U61" s="126"/>
      <c r="V61" s="127" t="str">
        <f t="shared" si="62"/>
        <v/>
      </c>
      <c r="W61" s="126"/>
      <c r="X61" s="126"/>
      <c r="Y61" s="126"/>
      <c r="Z61" s="128" t="str">
        <f t="shared" ref="Z61:Z63" si="66">IFERROR(IF(AND(S60="Probabilidad",S61="Probabilidad"),(AB60-(+AB60*V61)),IF(AND(S60="Impacto",S61="Probabilidad"),(AB59-(+AB59*V61)),IF(S61="Impacto",AB60,""))),"")</f>
        <v/>
      </c>
      <c r="AA61" s="129" t="str">
        <f t="shared" si="1"/>
        <v/>
      </c>
      <c r="AB61" s="130" t="str">
        <f t="shared" si="63"/>
        <v/>
      </c>
      <c r="AC61" s="129" t="str">
        <f t="shared" si="3"/>
        <v/>
      </c>
      <c r="AD61" s="130" t="str">
        <f t="shared" ref="AD61:AD63" si="67">IFERROR(IF(AND(S60="Impacto",S61="Impacto"),(AD60-(+AD60*V61)),IF(AND(S60="Probabilidad",S61="Impacto"),(AD59-(+AD59*V61)),IF(S61="Probabilidad",AD60,""))),"")</f>
        <v/>
      </c>
      <c r="AE61" s="131"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32"/>
      <c r="AG61" s="133"/>
      <c r="AH61" s="134"/>
      <c r="AI61" s="135"/>
      <c r="AJ61" s="135"/>
      <c r="AK61" s="133"/>
      <c r="AL61" s="134"/>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51.5" customHeight="1" x14ac:dyDescent="0.3">
      <c r="A62" s="200"/>
      <c r="B62" s="191"/>
      <c r="C62" s="191"/>
      <c r="D62" s="191"/>
      <c r="E62" s="191"/>
      <c r="F62" s="191"/>
      <c r="G62" s="203"/>
      <c r="H62" s="191"/>
      <c r="I62" s="220"/>
      <c r="J62" s="223"/>
      <c r="K62" s="194"/>
      <c r="L62" s="226"/>
      <c r="M62" s="194">
        <f>IF(NOT(ISERROR(MATCH(L62,_xlfn.ANCHORARRAY(G73),0))),K75&amp;"Por favor no seleccionar los criterios de impacto",L62)</f>
        <v>0</v>
      </c>
      <c r="N62" s="223"/>
      <c r="O62" s="194"/>
      <c r="P62" s="197"/>
      <c r="Q62" s="123">
        <v>5</v>
      </c>
      <c r="R62" s="124"/>
      <c r="S62" s="125" t="str">
        <f t="shared" si="65"/>
        <v/>
      </c>
      <c r="T62" s="126"/>
      <c r="U62" s="126"/>
      <c r="V62" s="127" t="str">
        <f t="shared" si="62"/>
        <v/>
      </c>
      <c r="W62" s="126"/>
      <c r="X62" s="126"/>
      <c r="Y62" s="126"/>
      <c r="Z62" s="128" t="str">
        <f t="shared" si="66"/>
        <v/>
      </c>
      <c r="AA62" s="129" t="str">
        <f t="shared" si="1"/>
        <v/>
      </c>
      <c r="AB62" s="130" t="str">
        <f t="shared" si="63"/>
        <v/>
      </c>
      <c r="AC62" s="129" t="str">
        <f t="shared" si="3"/>
        <v/>
      </c>
      <c r="AD62" s="130" t="str">
        <f t="shared" si="67"/>
        <v/>
      </c>
      <c r="AE62" s="131" t="str">
        <f t="shared" ref="AE62:AE63" si="68">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2"/>
      <c r="AG62" s="133"/>
      <c r="AH62" s="134"/>
      <c r="AI62" s="135"/>
      <c r="AJ62" s="135"/>
      <c r="AK62" s="133"/>
      <c r="AL62" s="134"/>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151.5" customHeight="1" x14ac:dyDescent="0.3">
      <c r="A63" s="201"/>
      <c r="B63" s="192"/>
      <c r="C63" s="192"/>
      <c r="D63" s="192"/>
      <c r="E63" s="192"/>
      <c r="F63" s="192"/>
      <c r="G63" s="204"/>
      <c r="H63" s="192"/>
      <c r="I63" s="221"/>
      <c r="J63" s="224"/>
      <c r="K63" s="195"/>
      <c r="L63" s="227"/>
      <c r="M63" s="195">
        <f>IF(NOT(ISERROR(MATCH(L63,_xlfn.ANCHORARRAY(G74),0))),K76&amp;"Por favor no seleccionar los criterios de impacto",L63)</f>
        <v>0</v>
      </c>
      <c r="N63" s="224"/>
      <c r="O63" s="195"/>
      <c r="P63" s="198"/>
      <c r="Q63" s="123">
        <v>6</v>
      </c>
      <c r="R63" s="124"/>
      <c r="S63" s="125" t="str">
        <f t="shared" si="65"/>
        <v/>
      </c>
      <c r="T63" s="126"/>
      <c r="U63" s="126"/>
      <c r="V63" s="127" t="str">
        <f t="shared" si="62"/>
        <v/>
      </c>
      <c r="W63" s="126"/>
      <c r="X63" s="126"/>
      <c r="Y63" s="126"/>
      <c r="Z63" s="128" t="str">
        <f t="shared" si="66"/>
        <v/>
      </c>
      <c r="AA63" s="129" t="str">
        <f t="shared" si="1"/>
        <v/>
      </c>
      <c r="AB63" s="130" t="str">
        <f t="shared" si="63"/>
        <v/>
      </c>
      <c r="AC63" s="129" t="str">
        <f t="shared" si="3"/>
        <v/>
      </c>
      <c r="AD63" s="130" t="str">
        <f t="shared" si="67"/>
        <v/>
      </c>
      <c r="AE63" s="131" t="str">
        <f t="shared" si="68"/>
        <v/>
      </c>
      <c r="AF63" s="132"/>
      <c r="AG63" s="133"/>
      <c r="AH63" s="134"/>
      <c r="AI63" s="135"/>
      <c r="AJ63" s="135"/>
      <c r="AK63" s="133"/>
      <c r="AL63" s="134"/>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51.5" customHeight="1" x14ac:dyDescent="0.3">
      <c r="A64" s="199">
        <v>10</v>
      </c>
      <c r="B64" s="190"/>
      <c r="C64" s="190"/>
      <c r="D64" s="190"/>
      <c r="E64" s="190"/>
      <c r="F64" s="190"/>
      <c r="G64" s="202"/>
      <c r="H64" s="190"/>
      <c r="I64" s="219"/>
      <c r="J64" s="222" t="str">
        <f>IF(I64&lt;=0,"",IF(I64&lt;=2,"Muy Baja",IF(I64&lt;=24,"Baja",IF(I64&lt;=500,"Media",IF(I64&lt;=5000,"Alta","Muy Alta")))))</f>
        <v/>
      </c>
      <c r="K64" s="193" t="str">
        <f>IF(J64="","",IF(J64="Muy Baja",0.2,IF(J64="Baja",0.4,IF(J64="Media",0.6,IF(J64="Alta",0.8,IF(J64="Muy Alta",1,))))))</f>
        <v/>
      </c>
      <c r="L64" s="225"/>
      <c r="M64" s="193">
        <f>IF(NOT(ISERROR(MATCH(L64,'Tabla Impacto'!$B$221:$B$223,0))),'Tabla Impacto'!$F$223&amp;"Por favor no seleccionar los criterios de impacto(Afectación Económica o presupuestal y Pérdida Reputacional)",L64)</f>
        <v>0</v>
      </c>
      <c r="N64" s="222" t="str">
        <f>IF(OR(M64='Tabla Impacto'!$C$11,M64='Tabla Impacto'!$D$11),"Leve",IF(OR(M64='Tabla Impacto'!$C$12,M64='Tabla Impacto'!$D$12),"Menor",IF(OR(M64='Tabla Impacto'!$C$13,M64='Tabla Impacto'!$D$13),"Moderado",IF(OR(M64='Tabla Impacto'!$C$14,M64='Tabla Impacto'!$D$14),"Mayor",IF(OR(M64='Tabla Impacto'!$C$15,M64='Tabla Impacto'!$D$15),"Catastrófico","")))))</f>
        <v/>
      </c>
      <c r="O64" s="193" t="str">
        <f>IF(N64="","",IF(N64="Leve",0.2,IF(N64="Menor",0.4,IF(N64="Moderado",0.6,IF(N64="Mayor",0.8,IF(N64="Catastrófico",1,))))))</f>
        <v/>
      </c>
      <c r="P64" s="196" t="str">
        <f>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23">
        <v>1</v>
      </c>
      <c r="R64" s="124"/>
      <c r="S64" s="125" t="str">
        <f>IF(OR(T64="Preventivo",T64="Detectivo"),"Probabilidad",IF(T64="Correctivo","Impacto",""))</f>
        <v/>
      </c>
      <c r="T64" s="126"/>
      <c r="U64" s="126"/>
      <c r="V64" s="127" t="str">
        <f>IF(AND(T64="Preventivo",U64="Automático"),"50%",IF(AND(T64="Preventivo",U64="Manual"),"40%",IF(AND(T64="Detectivo",U64="Automático"),"40%",IF(AND(T64="Detectivo",U64="Manual"),"30%",IF(AND(T64="Correctivo",U64="Automático"),"35%",IF(AND(T64="Correctivo",U64="Manual"),"25%",""))))))</f>
        <v/>
      </c>
      <c r="W64" s="126"/>
      <c r="X64" s="126"/>
      <c r="Y64" s="126"/>
      <c r="Z64" s="128" t="str">
        <f>IFERROR(IF(S64="Probabilidad",(K64-(+K64*V64)),IF(S64="Impacto",K64,"")),"")</f>
        <v/>
      </c>
      <c r="AA64" s="129" t="str">
        <f>IFERROR(IF(Z64="","",IF(Z64&lt;=0.2,"Muy Baja",IF(Z64&lt;=0.4,"Baja",IF(Z64&lt;=0.6,"Media",IF(Z64&lt;=0.8,"Alta","Muy Alta"))))),"")</f>
        <v/>
      </c>
      <c r="AB64" s="130" t="str">
        <f>+Z64</f>
        <v/>
      </c>
      <c r="AC64" s="129" t="str">
        <f>IFERROR(IF(AD64="","",IF(AD64&lt;=0.2,"Leve",IF(AD64&lt;=0.4,"Menor",IF(AD64&lt;=0.6,"Moderado",IF(AD64&lt;=0.8,"Mayor","Catastrófico"))))),"")</f>
        <v/>
      </c>
      <c r="AD64" s="130" t="str">
        <f>IFERROR(IF(S64="Impacto",(O64-(+O64*V64)),IF(S64="Probabilidad",O64,"")),"")</f>
        <v/>
      </c>
      <c r="AE64" s="131"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32"/>
      <c r="AG64" s="133"/>
      <c r="AH64" s="134"/>
      <c r="AI64" s="135"/>
      <c r="AJ64" s="135"/>
      <c r="AK64" s="133"/>
      <c r="AL64" s="134"/>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51.5" customHeight="1" x14ac:dyDescent="0.3">
      <c r="A65" s="200"/>
      <c r="B65" s="191"/>
      <c r="C65" s="191"/>
      <c r="D65" s="191"/>
      <c r="E65" s="191"/>
      <c r="F65" s="191"/>
      <c r="G65" s="203"/>
      <c r="H65" s="191"/>
      <c r="I65" s="220"/>
      <c r="J65" s="223"/>
      <c r="K65" s="194"/>
      <c r="L65" s="226"/>
      <c r="M65" s="194">
        <f>IF(NOT(ISERROR(MATCH(L65,_xlfn.ANCHORARRAY(G76),0))),K78&amp;"Por favor no seleccionar los criterios de impacto",L65)</f>
        <v>0</v>
      </c>
      <c r="N65" s="223"/>
      <c r="O65" s="194"/>
      <c r="P65" s="197"/>
      <c r="Q65" s="123">
        <v>2</v>
      </c>
      <c r="R65" s="124"/>
      <c r="S65" s="125" t="str">
        <f>IF(OR(T65="Preventivo",T65="Detectivo"),"Probabilidad",IF(T65="Correctivo","Impacto",""))</f>
        <v/>
      </c>
      <c r="T65" s="126"/>
      <c r="U65" s="126"/>
      <c r="V65" s="127" t="str">
        <f t="shared" ref="V65:V69" si="69">IF(AND(T65="Preventivo",U65="Automático"),"50%",IF(AND(T65="Preventivo",U65="Manual"),"40%",IF(AND(T65="Detectivo",U65="Automático"),"40%",IF(AND(T65="Detectivo",U65="Manual"),"30%",IF(AND(T65="Correctivo",U65="Automático"),"35%",IF(AND(T65="Correctivo",U65="Manual"),"25%",""))))))</f>
        <v/>
      </c>
      <c r="W65" s="126"/>
      <c r="X65" s="126"/>
      <c r="Y65" s="126"/>
      <c r="Z65" s="128" t="str">
        <f>IFERROR(IF(AND(S64="Probabilidad",S65="Probabilidad"),(AB64-(+AB64*V65)),IF(S65="Probabilidad",(K64-(+K64*V65)),IF(S65="Impacto",AB64,""))),"")</f>
        <v/>
      </c>
      <c r="AA65" s="129" t="str">
        <f t="shared" si="1"/>
        <v/>
      </c>
      <c r="AB65" s="130" t="str">
        <f t="shared" ref="AB65:AB69" si="70">+Z65</f>
        <v/>
      </c>
      <c r="AC65" s="129" t="str">
        <f t="shared" si="3"/>
        <v/>
      </c>
      <c r="AD65" s="130" t="str">
        <f>IFERROR(IF(AND(S64="Impacto",S65="Impacto"),(AD64-(+AD64*V65)),IF(S65="Impacto",(O64-(+O64*V65)),IF(S65="Probabilidad",AD64,""))),"")</f>
        <v/>
      </c>
      <c r="AE65" s="131" t="str">
        <f t="shared" ref="AE65:AE66" si="71">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32"/>
      <c r="AG65" s="133"/>
      <c r="AH65" s="134"/>
      <c r="AI65" s="135"/>
      <c r="AJ65" s="135"/>
      <c r="AK65" s="133"/>
      <c r="AL65" s="134"/>
    </row>
    <row r="66" spans="1:38" ht="151.5" customHeight="1" x14ac:dyDescent="0.3">
      <c r="A66" s="200"/>
      <c r="B66" s="191"/>
      <c r="C66" s="191"/>
      <c r="D66" s="191"/>
      <c r="E66" s="191"/>
      <c r="F66" s="191"/>
      <c r="G66" s="203"/>
      <c r="H66" s="191"/>
      <c r="I66" s="220"/>
      <c r="J66" s="223"/>
      <c r="K66" s="194"/>
      <c r="L66" s="226"/>
      <c r="M66" s="194">
        <f>IF(NOT(ISERROR(MATCH(L66,_xlfn.ANCHORARRAY(G77),0))),K79&amp;"Por favor no seleccionar los criterios de impacto",L66)</f>
        <v>0</v>
      </c>
      <c r="N66" s="223"/>
      <c r="O66" s="194"/>
      <c r="P66" s="197"/>
      <c r="Q66" s="123">
        <v>3</v>
      </c>
      <c r="R66" s="136"/>
      <c r="S66" s="125" t="str">
        <f>IF(OR(T66="Preventivo",T66="Detectivo"),"Probabilidad",IF(T66="Correctivo","Impacto",""))</f>
        <v/>
      </c>
      <c r="T66" s="126"/>
      <c r="U66" s="126"/>
      <c r="V66" s="127" t="str">
        <f t="shared" si="69"/>
        <v/>
      </c>
      <c r="W66" s="126"/>
      <c r="X66" s="126"/>
      <c r="Y66" s="126"/>
      <c r="Z66" s="128" t="str">
        <f>IFERROR(IF(AND(S65="Probabilidad",S66="Probabilidad"),(AB65-(+AB65*V66)),IF(AND(S65="Impacto",S66="Probabilidad"),(AB64-(+AB64*V66)),IF(S66="Impacto",AB65,""))),"")</f>
        <v/>
      </c>
      <c r="AA66" s="129" t="str">
        <f t="shared" si="1"/>
        <v/>
      </c>
      <c r="AB66" s="130" t="str">
        <f t="shared" si="70"/>
        <v/>
      </c>
      <c r="AC66" s="129" t="str">
        <f t="shared" si="3"/>
        <v/>
      </c>
      <c r="AD66" s="130" t="str">
        <f>IFERROR(IF(AND(S65="Impacto",S66="Impacto"),(AD65-(+AD65*V66)),IF(AND(S65="Probabilidad",S66="Impacto"),(AD64-(+AD64*V66)),IF(S66="Probabilidad",AD65,""))),"")</f>
        <v/>
      </c>
      <c r="AE66" s="131" t="str">
        <f t="shared" si="71"/>
        <v/>
      </c>
      <c r="AF66" s="132"/>
      <c r="AG66" s="133"/>
      <c r="AH66" s="134"/>
      <c r="AI66" s="135"/>
      <c r="AJ66" s="135"/>
      <c r="AK66" s="133"/>
      <c r="AL66" s="134"/>
    </row>
    <row r="67" spans="1:38" ht="151.5" customHeight="1" x14ac:dyDescent="0.3">
      <c r="A67" s="200"/>
      <c r="B67" s="191"/>
      <c r="C67" s="191"/>
      <c r="D67" s="191"/>
      <c r="E67" s="191"/>
      <c r="F67" s="191"/>
      <c r="G67" s="203"/>
      <c r="H67" s="191"/>
      <c r="I67" s="220"/>
      <c r="J67" s="223"/>
      <c r="K67" s="194"/>
      <c r="L67" s="226"/>
      <c r="M67" s="194">
        <f>IF(NOT(ISERROR(MATCH(L67,_xlfn.ANCHORARRAY(G78),0))),K80&amp;"Por favor no seleccionar los criterios de impacto",L67)</f>
        <v>0</v>
      </c>
      <c r="N67" s="223"/>
      <c r="O67" s="194"/>
      <c r="P67" s="197"/>
      <c r="Q67" s="123">
        <v>4</v>
      </c>
      <c r="R67" s="124"/>
      <c r="S67" s="125" t="str">
        <f t="shared" ref="S67:S69" si="72">IF(OR(T67="Preventivo",T67="Detectivo"),"Probabilidad",IF(T67="Correctivo","Impacto",""))</f>
        <v/>
      </c>
      <c r="T67" s="126"/>
      <c r="U67" s="126"/>
      <c r="V67" s="127" t="str">
        <f t="shared" si="69"/>
        <v/>
      </c>
      <c r="W67" s="126"/>
      <c r="X67" s="126"/>
      <c r="Y67" s="126"/>
      <c r="Z67" s="128" t="str">
        <f t="shared" ref="Z67:Z69" si="73">IFERROR(IF(AND(S66="Probabilidad",S67="Probabilidad"),(AB66-(+AB66*V67)),IF(AND(S66="Impacto",S67="Probabilidad"),(AB65-(+AB65*V67)),IF(S67="Impacto",AB66,""))),"")</f>
        <v/>
      </c>
      <c r="AA67" s="129" t="str">
        <f t="shared" si="1"/>
        <v/>
      </c>
      <c r="AB67" s="130" t="str">
        <f t="shared" si="70"/>
        <v/>
      </c>
      <c r="AC67" s="129" t="str">
        <f t="shared" si="3"/>
        <v/>
      </c>
      <c r="AD67" s="130" t="str">
        <f t="shared" ref="AD67:AD69" si="74">IFERROR(IF(AND(S66="Impacto",S67="Impacto"),(AD66-(+AD66*V67)),IF(AND(S66="Probabilidad",S67="Impacto"),(AD65-(+AD65*V67)),IF(S67="Probabilidad",AD66,""))),"")</f>
        <v/>
      </c>
      <c r="AE67" s="131"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32"/>
      <c r="AG67" s="133"/>
      <c r="AH67" s="134"/>
      <c r="AI67" s="135"/>
      <c r="AJ67" s="135"/>
      <c r="AK67" s="133"/>
      <c r="AL67" s="134"/>
    </row>
    <row r="68" spans="1:38" ht="151.5" customHeight="1" x14ac:dyDescent="0.3">
      <c r="A68" s="200"/>
      <c r="B68" s="191"/>
      <c r="C68" s="191"/>
      <c r="D68" s="191"/>
      <c r="E68" s="191"/>
      <c r="F68" s="191"/>
      <c r="G68" s="203"/>
      <c r="H68" s="191"/>
      <c r="I68" s="220"/>
      <c r="J68" s="223"/>
      <c r="K68" s="194"/>
      <c r="L68" s="226"/>
      <c r="M68" s="194">
        <f>IF(NOT(ISERROR(MATCH(L68,_xlfn.ANCHORARRAY(G79),0))),K81&amp;"Por favor no seleccionar los criterios de impacto",L68)</f>
        <v>0</v>
      </c>
      <c r="N68" s="223"/>
      <c r="O68" s="194"/>
      <c r="P68" s="197"/>
      <c r="Q68" s="123">
        <v>5</v>
      </c>
      <c r="R68" s="124"/>
      <c r="S68" s="125" t="str">
        <f t="shared" si="72"/>
        <v/>
      </c>
      <c r="T68" s="126"/>
      <c r="U68" s="126"/>
      <c r="V68" s="127" t="str">
        <f t="shared" si="69"/>
        <v/>
      </c>
      <c r="W68" s="126"/>
      <c r="X68" s="126"/>
      <c r="Y68" s="126"/>
      <c r="Z68" s="128" t="str">
        <f t="shared" si="73"/>
        <v/>
      </c>
      <c r="AA68" s="129" t="str">
        <f t="shared" si="1"/>
        <v/>
      </c>
      <c r="AB68" s="130" t="str">
        <f t="shared" si="70"/>
        <v/>
      </c>
      <c r="AC68" s="129" t="str">
        <f t="shared" si="3"/>
        <v/>
      </c>
      <c r="AD68" s="130" t="str">
        <f t="shared" si="74"/>
        <v/>
      </c>
      <c r="AE68" s="131" t="str">
        <f t="shared" ref="AE68:AE69" si="75">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32"/>
      <c r="AG68" s="133"/>
      <c r="AH68" s="134"/>
      <c r="AI68" s="135"/>
      <c r="AJ68" s="135"/>
      <c r="AK68" s="133"/>
      <c r="AL68" s="134"/>
    </row>
    <row r="69" spans="1:38" ht="151.5" customHeight="1" x14ac:dyDescent="0.3">
      <c r="A69" s="201"/>
      <c r="B69" s="192"/>
      <c r="C69" s="192"/>
      <c r="D69" s="192"/>
      <c r="E69" s="192"/>
      <c r="F69" s="192"/>
      <c r="G69" s="204"/>
      <c r="H69" s="192"/>
      <c r="I69" s="221"/>
      <c r="J69" s="224"/>
      <c r="K69" s="195"/>
      <c r="L69" s="227"/>
      <c r="M69" s="195">
        <f>IF(NOT(ISERROR(MATCH(L69,_xlfn.ANCHORARRAY(G80),0))),K82&amp;"Por favor no seleccionar los criterios de impacto",L69)</f>
        <v>0</v>
      </c>
      <c r="N69" s="224"/>
      <c r="O69" s="195"/>
      <c r="P69" s="198"/>
      <c r="Q69" s="123">
        <v>6</v>
      </c>
      <c r="R69" s="124"/>
      <c r="S69" s="125" t="str">
        <f t="shared" si="72"/>
        <v/>
      </c>
      <c r="T69" s="126"/>
      <c r="U69" s="126"/>
      <c r="V69" s="127" t="str">
        <f t="shared" si="69"/>
        <v/>
      </c>
      <c r="W69" s="126"/>
      <c r="X69" s="126"/>
      <c r="Y69" s="126"/>
      <c r="Z69" s="128" t="str">
        <f t="shared" si="73"/>
        <v/>
      </c>
      <c r="AA69" s="129" t="str">
        <f t="shared" si="1"/>
        <v/>
      </c>
      <c r="AB69" s="130" t="str">
        <f t="shared" si="70"/>
        <v/>
      </c>
      <c r="AC69" s="129" t="str">
        <f t="shared" si="3"/>
        <v/>
      </c>
      <c r="AD69" s="130" t="str">
        <f t="shared" si="74"/>
        <v/>
      </c>
      <c r="AE69" s="131" t="str">
        <f t="shared" si="75"/>
        <v/>
      </c>
      <c r="AF69" s="132"/>
      <c r="AG69" s="133"/>
      <c r="AH69" s="134"/>
      <c r="AI69" s="135"/>
      <c r="AJ69" s="135"/>
      <c r="AK69" s="133"/>
      <c r="AL69" s="134"/>
    </row>
    <row r="70" spans="1:38" ht="49.5" customHeight="1" x14ac:dyDescent="0.3">
      <c r="A70" s="6"/>
      <c r="B70" s="216" t="s">
        <v>131</v>
      </c>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8"/>
    </row>
    <row r="72" spans="1:38" x14ac:dyDescent="0.3">
      <c r="A72" s="1"/>
      <c r="B72" s="24" t="s">
        <v>143</v>
      </c>
      <c r="C72" s="24"/>
      <c r="D72" s="1"/>
      <c r="E72" s="1"/>
      <c r="F72" s="1"/>
      <c r="H72" s="1"/>
    </row>
  </sheetData>
  <dataConsolidate/>
  <mergeCells count="203">
    <mergeCell ref="T8:Y8"/>
    <mergeCell ref="E8:E9"/>
    <mergeCell ref="H10:H15"/>
    <mergeCell ref="I10:I15"/>
    <mergeCell ref="J10:J15"/>
    <mergeCell ref="A10:A15"/>
    <mergeCell ref="B10:B15"/>
    <mergeCell ref="D10:D15"/>
    <mergeCell ref="F10:F15"/>
    <mergeCell ref="G10:G15"/>
    <mergeCell ref="P10:P15"/>
    <mergeCell ref="K10:K15"/>
    <mergeCell ref="L10:L15"/>
    <mergeCell ref="M10:M15"/>
    <mergeCell ref="N10:N15"/>
    <mergeCell ref="O10:O15"/>
    <mergeCell ref="J8:J9"/>
    <mergeCell ref="K8:K9"/>
    <mergeCell ref="N8:N9"/>
    <mergeCell ref="O8:O9"/>
    <mergeCell ref="B8:B9"/>
    <mergeCell ref="P8:P9"/>
    <mergeCell ref="L8:L9"/>
    <mergeCell ref="M8:M9"/>
    <mergeCell ref="S8:S9"/>
    <mergeCell ref="AG8:AG9"/>
    <mergeCell ref="AL8:AL9"/>
    <mergeCell ref="AK8:AK9"/>
    <mergeCell ref="AJ8:AJ9"/>
    <mergeCell ref="AI8:AI9"/>
    <mergeCell ref="AH8:AH9"/>
    <mergeCell ref="A5:B5"/>
    <mergeCell ref="A6:B6"/>
    <mergeCell ref="A8:A9"/>
    <mergeCell ref="H8:H9"/>
    <mergeCell ref="G8:G9"/>
    <mergeCell ref="F8:F9"/>
    <mergeCell ref="D8:D9"/>
    <mergeCell ref="AF8:AF9"/>
    <mergeCell ref="Q8:Q9"/>
    <mergeCell ref="AE8:AE9"/>
    <mergeCell ref="AD8:AD9"/>
    <mergeCell ref="Z8:Z9"/>
    <mergeCell ref="R8:R9"/>
    <mergeCell ref="AC8:AC9"/>
    <mergeCell ref="AA8:AA9"/>
    <mergeCell ref="AB8:AB9"/>
    <mergeCell ref="I8:I9"/>
    <mergeCell ref="H16:H21"/>
    <mergeCell ref="I16:I21"/>
    <mergeCell ref="J16:J21"/>
    <mergeCell ref="K16:K21"/>
    <mergeCell ref="L16:L21"/>
    <mergeCell ref="A16:A21"/>
    <mergeCell ref="B16:B21"/>
    <mergeCell ref="D16:D21"/>
    <mergeCell ref="F16:F21"/>
    <mergeCell ref="G16:G21"/>
    <mergeCell ref="A22:A27"/>
    <mergeCell ref="B22:B27"/>
    <mergeCell ref="D22:D27"/>
    <mergeCell ref="F22:F27"/>
    <mergeCell ref="G22:G27"/>
    <mergeCell ref="H22:H27"/>
    <mergeCell ref="I22:I27"/>
    <mergeCell ref="J22:J27"/>
    <mergeCell ref="K22:K27"/>
    <mergeCell ref="O28:O33"/>
    <mergeCell ref="P28:P33"/>
    <mergeCell ref="M16:M21"/>
    <mergeCell ref="N16:N21"/>
    <mergeCell ref="O16:O21"/>
    <mergeCell ref="P16:P21"/>
    <mergeCell ref="L22:L27"/>
    <mergeCell ref="M22:M27"/>
    <mergeCell ref="N22:N27"/>
    <mergeCell ref="F28:F33"/>
    <mergeCell ref="G28:G33"/>
    <mergeCell ref="H28:H33"/>
    <mergeCell ref="I28:I33"/>
    <mergeCell ref="J28:J33"/>
    <mergeCell ref="K28:K33"/>
    <mergeCell ref="L28:L33"/>
    <mergeCell ref="M28:M33"/>
    <mergeCell ref="N28:N33"/>
    <mergeCell ref="A52:A57"/>
    <mergeCell ref="B52:B57"/>
    <mergeCell ref="D52:D57"/>
    <mergeCell ref="F52:F57"/>
    <mergeCell ref="G52:G57"/>
    <mergeCell ref="A46:A51"/>
    <mergeCell ref="B46:B51"/>
    <mergeCell ref="D46:D51"/>
    <mergeCell ref="F46:F51"/>
    <mergeCell ref="G46:G51"/>
    <mergeCell ref="C46:C51"/>
    <mergeCell ref="C52:C57"/>
    <mergeCell ref="E52:E57"/>
    <mergeCell ref="M52:M57"/>
    <mergeCell ref="N52:N57"/>
    <mergeCell ref="O52:O57"/>
    <mergeCell ref="P52:P57"/>
    <mergeCell ref="K34:K39"/>
    <mergeCell ref="L34:L39"/>
    <mergeCell ref="I40:I45"/>
    <mergeCell ref="J40:J45"/>
    <mergeCell ref="K40:K45"/>
    <mergeCell ref="M34:M39"/>
    <mergeCell ref="N34:N39"/>
    <mergeCell ref="O34:O39"/>
    <mergeCell ref="P34:P39"/>
    <mergeCell ref="O40:O45"/>
    <mergeCell ref="P40:P45"/>
    <mergeCell ref="L46:L51"/>
    <mergeCell ref="M46:M51"/>
    <mergeCell ref="N46:N51"/>
    <mergeCell ref="L40:L45"/>
    <mergeCell ref="M40:M45"/>
    <mergeCell ref="N40:N45"/>
    <mergeCell ref="I34:I39"/>
    <mergeCell ref="J34:J39"/>
    <mergeCell ref="H52:H57"/>
    <mergeCell ref="I52:I57"/>
    <mergeCell ref="J52:J57"/>
    <mergeCell ref="K52:K57"/>
    <mergeCell ref="L52:L57"/>
    <mergeCell ref="H46:H51"/>
    <mergeCell ref="I46:I51"/>
    <mergeCell ref="J46:J51"/>
    <mergeCell ref="K46:K51"/>
    <mergeCell ref="M58:M63"/>
    <mergeCell ref="N58:N63"/>
    <mergeCell ref="A58:A63"/>
    <mergeCell ref="B58:B63"/>
    <mergeCell ref="D58:D63"/>
    <mergeCell ref="F58:F63"/>
    <mergeCell ref="G58:G63"/>
    <mergeCell ref="H58:H63"/>
    <mergeCell ref="I58:I63"/>
    <mergeCell ref="J58:J63"/>
    <mergeCell ref="K58:K63"/>
    <mergeCell ref="C58:C63"/>
    <mergeCell ref="E58:E63"/>
    <mergeCell ref="A1:AL2"/>
    <mergeCell ref="A7:I7"/>
    <mergeCell ref="J7:P7"/>
    <mergeCell ref="Q7:Y7"/>
    <mergeCell ref="Z7:AF7"/>
    <mergeCell ref="AG7:AL7"/>
    <mergeCell ref="B70:AL70"/>
    <mergeCell ref="O58:O63"/>
    <mergeCell ref="P58:P63"/>
    <mergeCell ref="A64:A69"/>
    <mergeCell ref="B64:B69"/>
    <mergeCell ref="D64:D69"/>
    <mergeCell ref="F64:F69"/>
    <mergeCell ref="G64:G69"/>
    <mergeCell ref="H64:H69"/>
    <mergeCell ref="I64:I69"/>
    <mergeCell ref="J64:J69"/>
    <mergeCell ref="K64:K69"/>
    <mergeCell ref="L64:L69"/>
    <mergeCell ref="M64:M69"/>
    <mergeCell ref="N64:N69"/>
    <mergeCell ref="O64:O69"/>
    <mergeCell ref="P64:P69"/>
    <mergeCell ref="L58:L63"/>
    <mergeCell ref="E64:E69"/>
    <mergeCell ref="C8:C9"/>
    <mergeCell ref="C10:C15"/>
    <mergeCell ref="C16:C21"/>
    <mergeCell ref="C22:C27"/>
    <mergeCell ref="C28:C33"/>
    <mergeCell ref="C34:C39"/>
    <mergeCell ref="C40:C45"/>
    <mergeCell ref="C64:C69"/>
    <mergeCell ref="D34:D39"/>
    <mergeCell ref="D40:D45"/>
    <mergeCell ref="D28:D33"/>
    <mergeCell ref="C5:P5"/>
    <mergeCell ref="C6:P6"/>
    <mergeCell ref="A4:B4"/>
    <mergeCell ref="C4:P4"/>
    <mergeCell ref="Q4:S4"/>
    <mergeCell ref="E34:E39"/>
    <mergeCell ref="E40:E45"/>
    <mergeCell ref="E46:E51"/>
    <mergeCell ref="O46:O51"/>
    <mergeCell ref="P46:P51"/>
    <mergeCell ref="A34:A39"/>
    <mergeCell ref="B34:B39"/>
    <mergeCell ref="A40:A45"/>
    <mergeCell ref="B40:B45"/>
    <mergeCell ref="F40:F45"/>
    <mergeCell ref="G40:G45"/>
    <mergeCell ref="H40:H45"/>
    <mergeCell ref="F34:F39"/>
    <mergeCell ref="G34:G39"/>
    <mergeCell ref="H34:H39"/>
    <mergeCell ref="O22:O27"/>
    <mergeCell ref="P22:P27"/>
    <mergeCell ref="A28:A33"/>
    <mergeCell ref="B28:B33"/>
  </mergeCells>
  <conditionalFormatting sqref="J10 J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N10 N16 N22 N28 N34 N40 N46 N52 N58 N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P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AA10:AA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C10:AC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E10:AE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J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P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AA16:AA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C16:AC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E16:AE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J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P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AA22:AA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C22:AC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E22:AE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J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P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AA28:AA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C28:AC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E28:AE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J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P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AA34:AA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C34:AC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E34:AE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J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P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AA40:AA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C40:AC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E40:AE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J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P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AA46:AA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C46:AC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E46:AE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J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P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AA52:AA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C52:AC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E52:AE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P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AA58:AA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C58:AC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E58:AE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J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P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AA64:AA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C64:AC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E64:AE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M10:M69">
    <cfRule type="containsText" dxfId="4" priority="1" operator="containsText" text="❌">
      <formula>NOT(ISERROR(SEARCH("❌",M10)))</formula>
    </cfRule>
  </conditionalFormatting>
  <dataValidations count="1">
    <dataValidation type="list" allowBlank="1" showInputMessage="1" showErrorMessage="1" sqref="C10:C69">
      <formula1>INDIRECT(B10)</formula1>
    </dataValidation>
  </dataValidations>
  <pageMargins left="0.7" right="0.7" top="0.75" bottom="0.75" header="0.3" footer="0.3"/>
  <pageSetup orientation="portrait" r:id="rId1"/>
  <ignoredErrors>
    <ignoredError sqref="AD12" formula="1"/>
  </ignoredError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T10:T69</xm:sqref>
        </x14:dataValidation>
        <x14:dataValidation type="list" allowBlank="1" showInputMessage="1" showErrorMessage="1">
          <x14:formula1>
            <xm:f>'Tabla Valoración controles'!$D$7:$D$8</xm:f>
          </x14:formula1>
          <xm:sqref>U10:U69</xm:sqref>
        </x14:dataValidation>
        <x14:dataValidation type="list" allowBlank="1" showInputMessage="1" showErrorMessage="1">
          <x14:formula1>
            <xm:f>'Tabla Valoración controles'!$D$9:$D$10</xm:f>
          </x14:formula1>
          <xm:sqref>W10:W69</xm:sqref>
        </x14:dataValidation>
        <x14:dataValidation type="list" allowBlank="1" showInputMessage="1" showErrorMessage="1">
          <x14:formula1>
            <xm:f>'Tabla Valoración controles'!$D$11:$D$12</xm:f>
          </x14:formula1>
          <xm:sqref>X10:X69</xm:sqref>
        </x14:dataValidation>
        <x14:dataValidation type="list" allowBlank="1" showInputMessage="1" showErrorMessage="1">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14:formula1>
            <xm:f>'Tabla Valoración controles'!$D$13:$D$14</xm:f>
          </x14:formula1>
          <xm:sqref>Y10:Y69</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Tratamiento'!$B$2:$B$5</xm:f>
          </x14:formula1>
          <xm:sqref>AF10:AF69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AK10:AK69</xm:sqref>
        </x14:dataValidation>
        <x14:dataValidation type="list" allowBlank="1" showInputMessage="1" showErrorMessage="1">
          <x14:formula1>
            <xm:f>'Opciones Tratamiento'!$J$2:$M$2</xm:f>
          </x14:formula1>
          <xm:sqref>B10:B69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8" t="s">
        <v>161</v>
      </c>
      <c r="C2" s="328"/>
      <c r="D2" s="328"/>
      <c r="E2" s="328"/>
      <c r="F2" s="328"/>
      <c r="G2" s="328"/>
      <c r="H2" s="328"/>
      <c r="I2" s="328"/>
      <c r="J2" s="296" t="s">
        <v>2</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8"/>
      <c r="C3" s="328"/>
      <c r="D3" s="328"/>
      <c r="E3" s="328"/>
      <c r="F3" s="328"/>
      <c r="G3" s="328"/>
      <c r="H3" s="328"/>
      <c r="I3" s="328"/>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8"/>
      <c r="C4" s="328"/>
      <c r="D4" s="328"/>
      <c r="E4" s="328"/>
      <c r="F4" s="328"/>
      <c r="G4" s="328"/>
      <c r="H4" s="328"/>
      <c r="I4" s="328"/>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43" t="s">
        <v>4</v>
      </c>
      <c r="C6" s="243"/>
      <c r="D6" s="244"/>
      <c r="E6" s="281" t="s">
        <v>116</v>
      </c>
      <c r="F6" s="282"/>
      <c r="G6" s="282"/>
      <c r="H6" s="282"/>
      <c r="I6" s="283"/>
      <c r="J6" s="292" t="str">
        <f>IF(AND('Mapa final'!$J$10="Muy Alta",'Mapa final'!$N$10="Leve"),CONCATENATE("R",'Mapa final'!$A$10),"")</f>
        <v/>
      </c>
      <c r="K6" s="293"/>
      <c r="L6" s="293" t="str">
        <f>IF(AND('Mapa final'!$J$16="Muy Alta",'Mapa final'!$N$16="Leve"),CONCATENATE("R",'Mapa final'!$A$16),"")</f>
        <v/>
      </c>
      <c r="M6" s="293"/>
      <c r="N6" s="293" t="str">
        <f>IF(AND('Mapa final'!$J$22="Muy Alta",'Mapa final'!$N$22="Leve"),CONCATENATE("R",'Mapa final'!$A$22),"")</f>
        <v/>
      </c>
      <c r="O6" s="295"/>
      <c r="P6" s="292" t="str">
        <f>IF(AND('Mapa final'!$J$10="Muy Alta",'Mapa final'!$N$10="Menor"),CONCATENATE("R",'Mapa final'!$A$10),"")</f>
        <v/>
      </c>
      <c r="Q6" s="293"/>
      <c r="R6" s="293" t="str">
        <f>IF(AND('Mapa final'!$J$16="Muy Alta",'Mapa final'!$N$16="Menor"),CONCATENATE("R",'Mapa final'!$A$16),"")</f>
        <v/>
      </c>
      <c r="S6" s="293"/>
      <c r="T6" s="293" t="str">
        <f>IF(AND('Mapa final'!$J$22="Muy Alta",'Mapa final'!$N$22="Menor"),CONCATENATE("R",'Mapa final'!$A$22),"")</f>
        <v/>
      </c>
      <c r="U6" s="295"/>
      <c r="V6" s="292" t="str">
        <f>IF(AND('Mapa final'!$J$10="Muy Alta",'Mapa final'!$N$10="Moderado"),CONCATENATE("R",'Mapa final'!$A$10),"")</f>
        <v/>
      </c>
      <c r="W6" s="293"/>
      <c r="X6" s="293" t="str">
        <f>IF(AND('Mapa final'!$J$16="Muy Alta",'Mapa final'!$N$16="Moderado"),CONCATENATE("R",'Mapa final'!$A$16),"")</f>
        <v/>
      </c>
      <c r="Y6" s="293"/>
      <c r="Z6" s="293" t="str">
        <f>IF(AND('Mapa final'!$J$22="Muy Alta",'Mapa final'!$N$22="Moderado"),CONCATENATE("R",'Mapa final'!$A$22),"")</f>
        <v/>
      </c>
      <c r="AA6" s="295"/>
      <c r="AB6" s="292" t="str">
        <f>IF(AND('Mapa final'!$J$10="Muy Alta",'Mapa final'!$N$10="Mayor"),CONCATENATE("R",'Mapa final'!$A$10),"")</f>
        <v/>
      </c>
      <c r="AC6" s="293"/>
      <c r="AD6" s="293" t="str">
        <f>IF(AND('Mapa final'!$J$16="Muy Alta",'Mapa final'!$N$16="Mayor"),CONCATENATE("R",'Mapa final'!$A$16),"")</f>
        <v/>
      </c>
      <c r="AE6" s="293"/>
      <c r="AF6" s="293" t="str">
        <f>IF(AND('Mapa final'!$J$22="Muy Alta",'Mapa final'!$N$22="Mayor"),CONCATENATE("R",'Mapa final'!$A$22),"")</f>
        <v/>
      </c>
      <c r="AG6" s="295"/>
      <c r="AH6" s="307" t="str">
        <f>IF(AND('Mapa final'!$J$10="Muy Alta",'Mapa final'!$N$10="Catastrófico"),CONCATENATE("R",'Mapa final'!$A$10),"")</f>
        <v/>
      </c>
      <c r="AI6" s="308"/>
      <c r="AJ6" s="308" t="str">
        <f>IF(AND('Mapa final'!$J$16="Muy Alta",'Mapa final'!$N$16="Catastrófico"),CONCATENATE("R",'Mapa final'!$A$16),"")</f>
        <v/>
      </c>
      <c r="AK6" s="308"/>
      <c r="AL6" s="308" t="str">
        <f>IF(AND('Mapa final'!$J$22="Muy Alta",'Mapa final'!$N$22="Catastrófico"),CONCATENATE("R",'Mapa final'!$A$22),"")</f>
        <v/>
      </c>
      <c r="AM6" s="309"/>
      <c r="AO6" s="245" t="s">
        <v>79</v>
      </c>
      <c r="AP6" s="246"/>
      <c r="AQ6" s="246"/>
      <c r="AR6" s="246"/>
      <c r="AS6" s="246"/>
      <c r="AT6" s="2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43"/>
      <c r="C7" s="243"/>
      <c r="D7" s="244"/>
      <c r="E7" s="284"/>
      <c r="F7" s="285"/>
      <c r="G7" s="285"/>
      <c r="H7" s="285"/>
      <c r="I7" s="286"/>
      <c r="J7" s="294"/>
      <c r="K7" s="290"/>
      <c r="L7" s="290"/>
      <c r="M7" s="290"/>
      <c r="N7" s="290"/>
      <c r="O7" s="291"/>
      <c r="P7" s="294"/>
      <c r="Q7" s="290"/>
      <c r="R7" s="290"/>
      <c r="S7" s="290"/>
      <c r="T7" s="290"/>
      <c r="U7" s="291"/>
      <c r="V7" s="294"/>
      <c r="W7" s="290"/>
      <c r="X7" s="290"/>
      <c r="Y7" s="290"/>
      <c r="Z7" s="290"/>
      <c r="AA7" s="291"/>
      <c r="AB7" s="294"/>
      <c r="AC7" s="290"/>
      <c r="AD7" s="290"/>
      <c r="AE7" s="290"/>
      <c r="AF7" s="290"/>
      <c r="AG7" s="291"/>
      <c r="AH7" s="301"/>
      <c r="AI7" s="302"/>
      <c r="AJ7" s="302"/>
      <c r="AK7" s="302"/>
      <c r="AL7" s="302"/>
      <c r="AM7" s="303"/>
      <c r="AN7" s="83"/>
      <c r="AO7" s="248"/>
      <c r="AP7" s="249"/>
      <c r="AQ7" s="249"/>
      <c r="AR7" s="249"/>
      <c r="AS7" s="249"/>
      <c r="AT7" s="2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43"/>
      <c r="C8" s="243"/>
      <c r="D8" s="244"/>
      <c r="E8" s="284"/>
      <c r="F8" s="285"/>
      <c r="G8" s="285"/>
      <c r="H8" s="285"/>
      <c r="I8" s="286"/>
      <c r="J8" s="294" t="str">
        <f>IF(AND('Mapa final'!$J$28="Muy Alta",'Mapa final'!$N$28="Leve"),CONCATENATE("R",'Mapa final'!$A$28),"")</f>
        <v/>
      </c>
      <c r="K8" s="290"/>
      <c r="L8" s="290" t="str">
        <f>IF(AND('Mapa final'!$J$34="Muy Alta",'Mapa final'!$N$34="Leve"),CONCATENATE("R",'Mapa final'!$A$34),"")</f>
        <v/>
      </c>
      <c r="M8" s="290"/>
      <c r="N8" s="290" t="str">
        <f>IF(AND('Mapa final'!$J$40="Muy Alta",'Mapa final'!$N$40="Leve"),CONCATENATE("R",'Mapa final'!$A$40),"")</f>
        <v/>
      </c>
      <c r="O8" s="291"/>
      <c r="P8" s="294" t="str">
        <f>IF(AND('Mapa final'!$J$28="Muy Alta",'Mapa final'!$N$28="Menor"),CONCATENATE("R",'Mapa final'!$A$28),"")</f>
        <v/>
      </c>
      <c r="Q8" s="290"/>
      <c r="R8" s="290" t="str">
        <f>IF(AND('Mapa final'!$J$34="Muy Alta",'Mapa final'!$N$34="Menor"),CONCATENATE("R",'Mapa final'!$A$34),"")</f>
        <v/>
      </c>
      <c r="S8" s="290"/>
      <c r="T8" s="290" t="str">
        <f>IF(AND('Mapa final'!$J$40="Muy Alta",'Mapa final'!$N$40="Menor"),CONCATENATE("R",'Mapa final'!$A$40),"")</f>
        <v/>
      </c>
      <c r="U8" s="291"/>
      <c r="V8" s="294" t="str">
        <f>IF(AND('Mapa final'!$J$28="Muy Alta",'Mapa final'!$N$28="Moderado"),CONCATENATE("R",'Mapa final'!$A$28),"")</f>
        <v/>
      </c>
      <c r="W8" s="290"/>
      <c r="X8" s="290" t="str">
        <f>IF(AND('Mapa final'!$J$34="Muy Alta",'Mapa final'!$N$34="Moderado"),CONCATENATE("R",'Mapa final'!$A$34),"")</f>
        <v/>
      </c>
      <c r="Y8" s="290"/>
      <c r="Z8" s="290" t="str">
        <f>IF(AND('Mapa final'!$J$40="Muy Alta",'Mapa final'!$N$40="Moderado"),CONCATENATE("R",'Mapa final'!$A$40),"")</f>
        <v/>
      </c>
      <c r="AA8" s="291"/>
      <c r="AB8" s="294" t="str">
        <f>IF(AND('Mapa final'!$J$28="Muy Alta",'Mapa final'!$N$28="Mayor"),CONCATENATE("R",'Mapa final'!$A$28),"")</f>
        <v/>
      </c>
      <c r="AC8" s="290"/>
      <c r="AD8" s="290" t="str">
        <f>IF(AND('Mapa final'!$J$34="Muy Alta",'Mapa final'!$N$34="Mayor"),CONCATENATE("R",'Mapa final'!$A$34),"")</f>
        <v/>
      </c>
      <c r="AE8" s="290"/>
      <c r="AF8" s="290" t="str">
        <f>IF(AND('Mapa final'!$J$40="Muy Alta",'Mapa final'!$N$40="Mayor"),CONCATENATE("R",'Mapa final'!$A$40),"")</f>
        <v/>
      </c>
      <c r="AG8" s="291"/>
      <c r="AH8" s="301" t="str">
        <f>IF(AND('Mapa final'!$J$28="Muy Alta",'Mapa final'!$N$28="Catastrófico"),CONCATENATE("R",'Mapa final'!$A$28),"")</f>
        <v/>
      </c>
      <c r="AI8" s="302"/>
      <c r="AJ8" s="302" t="str">
        <f>IF(AND('Mapa final'!$J$34="Muy Alta",'Mapa final'!$N$34="Catastrófico"),CONCATENATE("R",'Mapa final'!$A$34),"")</f>
        <v/>
      </c>
      <c r="AK8" s="302"/>
      <c r="AL8" s="302" t="str">
        <f>IF(AND('Mapa final'!$J$40="Muy Alta",'Mapa final'!$N$40="Catastrófico"),CONCATENATE("R",'Mapa final'!$A$40),"")</f>
        <v/>
      </c>
      <c r="AM8" s="303"/>
      <c r="AN8" s="83"/>
      <c r="AO8" s="248"/>
      <c r="AP8" s="249"/>
      <c r="AQ8" s="249"/>
      <c r="AR8" s="249"/>
      <c r="AS8" s="249"/>
      <c r="AT8" s="2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43"/>
      <c r="C9" s="243"/>
      <c r="D9" s="244"/>
      <c r="E9" s="284"/>
      <c r="F9" s="285"/>
      <c r="G9" s="285"/>
      <c r="H9" s="285"/>
      <c r="I9" s="286"/>
      <c r="J9" s="294"/>
      <c r="K9" s="290"/>
      <c r="L9" s="290"/>
      <c r="M9" s="290"/>
      <c r="N9" s="290"/>
      <c r="O9" s="291"/>
      <c r="P9" s="294"/>
      <c r="Q9" s="290"/>
      <c r="R9" s="290"/>
      <c r="S9" s="290"/>
      <c r="T9" s="290"/>
      <c r="U9" s="291"/>
      <c r="V9" s="294"/>
      <c r="W9" s="290"/>
      <c r="X9" s="290"/>
      <c r="Y9" s="290"/>
      <c r="Z9" s="290"/>
      <c r="AA9" s="291"/>
      <c r="AB9" s="294"/>
      <c r="AC9" s="290"/>
      <c r="AD9" s="290"/>
      <c r="AE9" s="290"/>
      <c r="AF9" s="290"/>
      <c r="AG9" s="291"/>
      <c r="AH9" s="301"/>
      <c r="AI9" s="302"/>
      <c r="AJ9" s="302"/>
      <c r="AK9" s="302"/>
      <c r="AL9" s="302"/>
      <c r="AM9" s="303"/>
      <c r="AN9" s="83"/>
      <c r="AO9" s="248"/>
      <c r="AP9" s="249"/>
      <c r="AQ9" s="249"/>
      <c r="AR9" s="249"/>
      <c r="AS9" s="249"/>
      <c r="AT9" s="2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43"/>
      <c r="C10" s="243"/>
      <c r="D10" s="244"/>
      <c r="E10" s="284"/>
      <c r="F10" s="285"/>
      <c r="G10" s="285"/>
      <c r="H10" s="285"/>
      <c r="I10" s="286"/>
      <c r="J10" s="294" t="str">
        <f>IF(AND('Mapa final'!$J$46="Muy Alta",'Mapa final'!$N$46="Leve"),CONCATENATE("R",'Mapa final'!$A$46),"")</f>
        <v/>
      </c>
      <c r="K10" s="290"/>
      <c r="L10" s="290" t="str">
        <f>IF(AND('Mapa final'!$J$52="Muy Alta",'Mapa final'!$N$52="Leve"),CONCATENATE("R",'Mapa final'!$A$52),"")</f>
        <v/>
      </c>
      <c r="M10" s="290"/>
      <c r="N10" s="290" t="str">
        <f>IF(AND('Mapa final'!$J$58="Muy Alta",'Mapa final'!$N$58="Leve"),CONCATENATE("R",'Mapa final'!$A$58),"")</f>
        <v/>
      </c>
      <c r="O10" s="291"/>
      <c r="P10" s="294" t="str">
        <f>IF(AND('Mapa final'!$J$46="Muy Alta",'Mapa final'!$N$46="Menor"),CONCATENATE("R",'Mapa final'!$A$46),"")</f>
        <v/>
      </c>
      <c r="Q10" s="290"/>
      <c r="R10" s="290" t="str">
        <f>IF(AND('Mapa final'!$J$52="Muy Alta",'Mapa final'!$N$52="Menor"),CONCATENATE("R",'Mapa final'!$A$52),"")</f>
        <v/>
      </c>
      <c r="S10" s="290"/>
      <c r="T10" s="290" t="str">
        <f>IF(AND('Mapa final'!$J$58="Muy Alta",'Mapa final'!$N$58="Menor"),CONCATENATE("R",'Mapa final'!$A$58),"")</f>
        <v/>
      </c>
      <c r="U10" s="291"/>
      <c r="V10" s="294" t="str">
        <f>IF(AND('Mapa final'!$J$46="Muy Alta",'Mapa final'!$N$46="Moderado"),CONCATENATE("R",'Mapa final'!$A$46),"")</f>
        <v/>
      </c>
      <c r="W10" s="290"/>
      <c r="X10" s="290" t="str">
        <f>IF(AND('Mapa final'!$J$52="Muy Alta",'Mapa final'!$N$52="Moderado"),CONCATENATE("R",'Mapa final'!$A$52),"")</f>
        <v/>
      </c>
      <c r="Y10" s="290"/>
      <c r="Z10" s="290" t="str">
        <f>IF(AND('Mapa final'!$J$58="Muy Alta",'Mapa final'!$N$58="Moderado"),CONCATENATE("R",'Mapa final'!$A$58),"")</f>
        <v/>
      </c>
      <c r="AA10" s="291"/>
      <c r="AB10" s="294" t="str">
        <f>IF(AND('Mapa final'!$J$46="Muy Alta",'Mapa final'!$N$46="Mayor"),CONCATENATE("R",'Mapa final'!$A$46),"")</f>
        <v/>
      </c>
      <c r="AC10" s="290"/>
      <c r="AD10" s="290" t="str">
        <f>IF(AND('Mapa final'!$J$52="Muy Alta",'Mapa final'!$N$52="Mayor"),CONCATENATE("R",'Mapa final'!$A$52),"")</f>
        <v/>
      </c>
      <c r="AE10" s="290"/>
      <c r="AF10" s="290" t="str">
        <f>IF(AND('Mapa final'!$J$58="Muy Alta",'Mapa final'!$N$58="Mayor"),CONCATENATE("R",'Mapa final'!$A$58),"")</f>
        <v/>
      </c>
      <c r="AG10" s="291"/>
      <c r="AH10" s="301" t="str">
        <f>IF(AND('Mapa final'!$J$46="Muy Alta",'Mapa final'!$N$46="Catastrófico"),CONCATENATE("R",'Mapa final'!$A$46),"")</f>
        <v/>
      </c>
      <c r="AI10" s="302"/>
      <c r="AJ10" s="302" t="str">
        <f>IF(AND('Mapa final'!$J$52="Muy Alta",'Mapa final'!$N$52="Catastrófico"),CONCATENATE("R",'Mapa final'!$A$52),"")</f>
        <v/>
      </c>
      <c r="AK10" s="302"/>
      <c r="AL10" s="302" t="str">
        <f>IF(AND('Mapa final'!$J$58="Muy Alta",'Mapa final'!$N$58="Catastrófico"),CONCATENATE("R",'Mapa final'!$A$58),"")</f>
        <v/>
      </c>
      <c r="AM10" s="303"/>
      <c r="AN10" s="83"/>
      <c r="AO10" s="248"/>
      <c r="AP10" s="249"/>
      <c r="AQ10" s="249"/>
      <c r="AR10" s="249"/>
      <c r="AS10" s="249"/>
      <c r="AT10" s="2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43"/>
      <c r="C11" s="243"/>
      <c r="D11" s="244"/>
      <c r="E11" s="284"/>
      <c r="F11" s="285"/>
      <c r="G11" s="285"/>
      <c r="H11" s="285"/>
      <c r="I11" s="286"/>
      <c r="J11" s="294"/>
      <c r="K11" s="290"/>
      <c r="L11" s="290"/>
      <c r="M11" s="290"/>
      <c r="N11" s="290"/>
      <c r="O11" s="291"/>
      <c r="P11" s="294"/>
      <c r="Q11" s="290"/>
      <c r="R11" s="290"/>
      <c r="S11" s="290"/>
      <c r="T11" s="290"/>
      <c r="U11" s="291"/>
      <c r="V11" s="294"/>
      <c r="W11" s="290"/>
      <c r="X11" s="290"/>
      <c r="Y11" s="290"/>
      <c r="Z11" s="290"/>
      <c r="AA11" s="291"/>
      <c r="AB11" s="294"/>
      <c r="AC11" s="290"/>
      <c r="AD11" s="290"/>
      <c r="AE11" s="290"/>
      <c r="AF11" s="290"/>
      <c r="AG11" s="291"/>
      <c r="AH11" s="301"/>
      <c r="AI11" s="302"/>
      <c r="AJ11" s="302"/>
      <c r="AK11" s="302"/>
      <c r="AL11" s="302"/>
      <c r="AM11" s="303"/>
      <c r="AN11" s="83"/>
      <c r="AO11" s="248"/>
      <c r="AP11" s="249"/>
      <c r="AQ11" s="249"/>
      <c r="AR11" s="249"/>
      <c r="AS11" s="249"/>
      <c r="AT11" s="2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43"/>
      <c r="C12" s="243"/>
      <c r="D12" s="244"/>
      <c r="E12" s="284"/>
      <c r="F12" s="285"/>
      <c r="G12" s="285"/>
      <c r="H12" s="285"/>
      <c r="I12" s="286"/>
      <c r="J12" s="294" t="str">
        <f>IF(AND('Mapa final'!$J$64="Muy Alta",'Mapa final'!$N$64="Leve"),CONCATENATE("R",'Mapa final'!$A$64),"")</f>
        <v/>
      </c>
      <c r="K12" s="290"/>
      <c r="L12" s="290" t="str">
        <f>IF(AND('Mapa final'!$J$70="Muy Alta",'Mapa final'!$N$70="Leve"),CONCATENATE("R",'Mapa final'!$A$70),"")</f>
        <v/>
      </c>
      <c r="M12" s="290"/>
      <c r="N12" s="290" t="str">
        <f>IF(AND('Mapa final'!$J$76="Muy Alta",'Mapa final'!$N$76="Leve"),CONCATENATE("R",'Mapa final'!$A$76),"")</f>
        <v/>
      </c>
      <c r="O12" s="291"/>
      <c r="P12" s="294" t="str">
        <f>IF(AND('Mapa final'!$J$64="Muy Alta",'Mapa final'!$N$64="Menor"),CONCATENATE("R",'Mapa final'!$A$64),"")</f>
        <v/>
      </c>
      <c r="Q12" s="290"/>
      <c r="R12" s="290" t="str">
        <f>IF(AND('Mapa final'!$J$70="Muy Alta",'Mapa final'!$N$70="Menor"),CONCATENATE("R",'Mapa final'!$A$70),"")</f>
        <v/>
      </c>
      <c r="S12" s="290"/>
      <c r="T12" s="290" t="str">
        <f>IF(AND('Mapa final'!$J$76="Muy Alta",'Mapa final'!$N$76="Menor"),CONCATENATE("R",'Mapa final'!$A$76),"")</f>
        <v/>
      </c>
      <c r="U12" s="291"/>
      <c r="V12" s="294" t="str">
        <f>IF(AND('Mapa final'!$J$64="Muy Alta",'Mapa final'!$N$64="Moderado"),CONCATENATE("R",'Mapa final'!$A$64),"")</f>
        <v/>
      </c>
      <c r="W12" s="290"/>
      <c r="X12" s="290" t="str">
        <f>IF(AND('Mapa final'!$J$70="Muy Alta",'Mapa final'!$N$70="Moderado"),CONCATENATE("R",'Mapa final'!$A$70),"")</f>
        <v/>
      </c>
      <c r="Y12" s="290"/>
      <c r="Z12" s="290" t="str">
        <f>IF(AND('Mapa final'!$J$76="Muy Alta",'Mapa final'!$N$76="Moderado"),CONCATENATE("R",'Mapa final'!$A$76),"")</f>
        <v/>
      </c>
      <c r="AA12" s="291"/>
      <c r="AB12" s="294" t="str">
        <f>IF(AND('Mapa final'!$J$64="Muy Alta",'Mapa final'!$N$64="Mayor"),CONCATENATE("R",'Mapa final'!$A$64),"")</f>
        <v/>
      </c>
      <c r="AC12" s="290"/>
      <c r="AD12" s="290" t="str">
        <f>IF(AND('Mapa final'!$J$70="Muy Alta",'Mapa final'!$N$70="Mayor"),CONCATENATE("R",'Mapa final'!$A$70),"")</f>
        <v/>
      </c>
      <c r="AE12" s="290"/>
      <c r="AF12" s="290" t="str">
        <f>IF(AND('Mapa final'!$J$76="Muy Alta",'Mapa final'!$N$76="Mayor"),CONCATENATE("R",'Mapa final'!$A$76),"")</f>
        <v/>
      </c>
      <c r="AG12" s="291"/>
      <c r="AH12" s="301" t="str">
        <f>IF(AND('Mapa final'!$J$64="Muy Alta",'Mapa final'!$N$64="Catastrófico"),CONCATENATE("R",'Mapa final'!$A$64),"")</f>
        <v/>
      </c>
      <c r="AI12" s="302"/>
      <c r="AJ12" s="302" t="str">
        <f>IF(AND('Mapa final'!$J$70="Muy Alta",'Mapa final'!$N$70="Catastrófico"),CONCATENATE("R",'Mapa final'!$A$70),"")</f>
        <v/>
      </c>
      <c r="AK12" s="302"/>
      <c r="AL12" s="302" t="str">
        <f>IF(AND('Mapa final'!$J$76="Muy Alta",'Mapa final'!$N$76="Catastrófico"),CONCATENATE("R",'Mapa final'!$A$76),"")</f>
        <v/>
      </c>
      <c r="AM12" s="303"/>
      <c r="AN12" s="83"/>
      <c r="AO12" s="248"/>
      <c r="AP12" s="249"/>
      <c r="AQ12" s="249"/>
      <c r="AR12" s="249"/>
      <c r="AS12" s="249"/>
      <c r="AT12" s="2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43"/>
      <c r="C13" s="243"/>
      <c r="D13" s="244"/>
      <c r="E13" s="287"/>
      <c r="F13" s="288"/>
      <c r="G13" s="288"/>
      <c r="H13" s="288"/>
      <c r="I13" s="289"/>
      <c r="J13" s="294"/>
      <c r="K13" s="290"/>
      <c r="L13" s="290"/>
      <c r="M13" s="290"/>
      <c r="N13" s="290"/>
      <c r="O13" s="291"/>
      <c r="P13" s="294"/>
      <c r="Q13" s="290"/>
      <c r="R13" s="290"/>
      <c r="S13" s="290"/>
      <c r="T13" s="290"/>
      <c r="U13" s="291"/>
      <c r="V13" s="294"/>
      <c r="W13" s="290"/>
      <c r="X13" s="290"/>
      <c r="Y13" s="290"/>
      <c r="Z13" s="290"/>
      <c r="AA13" s="291"/>
      <c r="AB13" s="294"/>
      <c r="AC13" s="290"/>
      <c r="AD13" s="290"/>
      <c r="AE13" s="290"/>
      <c r="AF13" s="290"/>
      <c r="AG13" s="291"/>
      <c r="AH13" s="304"/>
      <c r="AI13" s="305"/>
      <c r="AJ13" s="305"/>
      <c r="AK13" s="305"/>
      <c r="AL13" s="305"/>
      <c r="AM13" s="306"/>
      <c r="AN13" s="83"/>
      <c r="AO13" s="251"/>
      <c r="AP13" s="252"/>
      <c r="AQ13" s="252"/>
      <c r="AR13" s="252"/>
      <c r="AS13" s="252"/>
      <c r="AT13" s="25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43"/>
      <c r="C14" s="243"/>
      <c r="D14" s="244"/>
      <c r="E14" s="281" t="s">
        <v>115</v>
      </c>
      <c r="F14" s="282"/>
      <c r="G14" s="282"/>
      <c r="H14" s="282"/>
      <c r="I14" s="282"/>
      <c r="J14" s="316" t="str">
        <f>IF(AND('Mapa final'!$J$10="Alta",'Mapa final'!$N$10="Leve"),CONCATENATE("R",'Mapa final'!$A$10),"")</f>
        <v/>
      </c>
      <c r="K14" s="317"/>
      <c r="L14" s="317" t="str">
        <f>IF(AND('Mapa final'!$J$16="Alta",'Mapa final'!$N$16="Leve"),CONCATENATE("R",'Mapa final'!$A$16),"")</f>
        <v/>
      </c>
      <c r="M14" s="317"/>
      <c r="N14" s="317" t="str">
        <f>IF(AND('Mapa final'!$J$22="Alta",'Mapa final'!$N$22="Leve"),CONCATENATE("R",'Mapa final'!$A$22),"")</f>
        <v/>
      </c>
      <c r="O14" s="318"/>
      <c r="P14" s="316" t="str">
        <f>IF(AND('Mapa final'!$J$10="Alta",'Mapa final'!$N$10="Menor"),CONCATENATE("R",'Mapa final'!$A$10),"")</f>
        <v/>
      </c>
      <c r="Q14" s="317"/>
      <c r="R14" s="317" t="str">
        <f>IF(AND('Mapa final'!$J$16="Alta",'Mapa final'!$N$16="Menor"),CONCATENATE("R",'Mapa final'!$A$16),"")</f>
        <v/>
      </c>
      <c r="S14" s="317"/>
      <c r="T14" s="317" t="str">
        <f>IF(AND('Mapa final'!$J$22="Alta",'Mapa final'!$N$22="Menor"),CONCATENATE("R",'Mapa final'!$A$22),"")</f>
        <v/>
      </c>
      <c r="U14" s="318"/>
      <c r="V14" s="292" t="str">
        <f>IF(AND('Mapa final'!$J$10="Alta",'Mapa final'!$N$10="Moderado"),CONCATENATE("R",'Mapa final'!$A$10),"")</f>
        <v/>
      </c>
      <c r="W14" s="293"/>
      <c r="X14" s="293" t="str">
        <f>IF(AND('Mapa final'!$J$16="Alta",'Mapa final'!$N$16="Moderado"),CONCATENATE("R",'Mapa final'!$A$16),"")</f>
        <v/>
      </c>
      <c r="Y14" s="293"/>
      <c r="Z14" s="293" t="str">
        <f>IF(AND('Mapa final'!$J$22="Alta",'Mapa final'!$N$22="Moderado"),CONCATENATE("R",'Mapa final'!$A$22),"")</f>
        <v/>
      </c>
      <c r="AA14" s="295"/>
      <c r="AB14" s="292" t="str">
        <f>IF(AND('Mapa final'!$J$10="Alta",'Mapa final'!$N$10="Mayor"),CONCATENATE("R",'Mapa final'!$A$10),"")</f>
        <v/>
      </c>
      <c r="AC14" s="293"/>
      <c r="AD14" s="293" t="str">
        <f>IF(AND('Mapa final'!$J$16="Alta",'Mapa final'!$N$16="Mayor"),CONCATENATE("R",'Mapa final'!$A$16),"")</f>
        <v/>
      </c>
      <c r="AE14" s="293"/>
      <c r="AF14" s="293" t="str">
        <f>IF(AND('Mapa final'!$J$22="Alta",'Mapa final'!$N$22="Mayor"),CONCATENATE("R",'Mapa final'!$A$22),"")</f>
        <v/>
      </c>
      <c r="AG14" s="295"/>
      <c r="AH14" s="307" t="str">
        <f>IF(AND('Mapa final'!$J$10="Alta",'Mapa final'!$N$10="Catastrófico"),CONCATENATE("R",'Mapa final'!$A$10),"")</f>
        <v/>
      </c>
      <c r="AI14" s="308"/>
      <c r="AJ14" s="308" t="str">
        <f>IF(AND('Mapa final'!$J$16="Alta",'Mapa final'!$N$16="Catastrófico"),CONCATENATE("R",'Mapa final'!$A$16),"")</f>
        <v/>
      </c>
      <c r="AK14" s="308"/>
      <c r="AL14" s="308" t="str">
        <f>IF(AND('Mapa final'!$J$22="Alta",'Mapa final'!$N$22="Catastrófico"),CONCATENATE("R",'Mapa final'!$A$22),"")</f>
        <v/>
      </c>
      <c r="AM14" s="309"/>
      <c r="AN14" s="83"/>
      <c r="AO14" s="254" t="s">
        <v>80</v>
      </c>
      <c r="AP14" s="255"/>
      <c r="AQ14" s="255"/>
      <c r="AR14" s="255"/>
      <c r="AS14" s="255"/>
      <c r="AT14" s="2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43"/>
      <c r="C15" s="243"/>
      <c r="D15" s="244"/>
      <c r="E15" s="284"/>
      <c r="F15" s="285"/>
      <c r="G15" s="285"/>
      <c r="H15" s="285"/>
      <c r="I15" s="285"/>
      <c r="J15" s="310"/>
      <c r="K15" s="311"/>
      <c r="L15" s="311"/>
      <c r="M15" s="311"/>
      <c r="N15" s="311"/>
      <c r="O15" s="312"/>
      <c r="P15" s="310"/>
      <c r="Q15" s="311"/>
      <c r="R15" s="311"/>
      <c r="S15" s="311"/>
      <c r="T15" s="311"/>
      <c r="U15" s="312"/>
      <c r="V15" s="294"/>
      <c r="W15" s="290"/>
      <c r="X15" s="290"/>
      <c r="Y15" s="290"/>
      <c r="Z15" s="290"/>
      <c r="AA15" s="291"/>
      <c r="AB15" s="294"/>
      <c r="AC15" s="290"/>
      <c r="AD15" s="290"/>
      <c r="AE15" s="290"/>
      <c r="AF15" s="290"/>
      <c r="AG15" s="291"/>
      <c r="AH15" s="301"/>
      <c r="AI15" s="302"/>
      <c r="AJ15" s="302"/>
      <c r="AK15" s="302"/>
      <c r="AL15" s="302"/>
      <c r="AM15" s="303"/>
      <c r="AN15" s="83"/>
      <c r="AO15" s="257"/>
      <c r="AP15" s="258"/>
      <c r="AQ15" s="258"/>
      <c r="AR15" s="258"/>
      <c r="AS15" s="258"/>
      <c r="AT15" s="2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43"/>
      <c r="C16" s="243"/>
      <c r="D16" s="244"/>
      <c r="E16" s="284"/>
      <c r="F16" s="285"/>
      <c r="G16" s="285"/>
      <c r="H16" s="285"/>
      <c r="I16" s="285"/>
      <c r="J16" s="310" t="str">
        <f>IF(AND('Mapa final'!$J$28="Alta",'Mapa final'!$N$28="Leve"),CONCATENATE("R",'Mapa final'!$A$28),"")</f>
        <v/>
      </c>
      <c r="K16" s="311"/>
      <c r="L16" s="311" t="str">
        <f>IF(AND('Mapa final'!$J$34="Alta",'Mapa final'!$N$34="Leve"),CONCATENATE("R",'Mapa final'!$A$34),"")</f>
        <v/>
      </c>
      <c r="M16" s="311"/>
      <c r="N16" s="311" t="str">
        <f>IF(AND('Mapa final'!$J$40="Alta",'Mapa final'!$N$40="Leve"),CONCATENATE("R",'Mapa final'!$A$40),"")</f>
        <v/>
      </c>
      <c r="O16" s="312"/>
      <c r="P16" s="310" t="str">
        <f>IF(AND('Mapa final'!$J$28="Alta",'Mapa final'!$N$28="Menor"),CONCATENATE("R",'Mapa final'!$A$28),"")</f>
        <v/>
      </c>
      <c r="Q16" s="311"/>
      <c r="R16" s="311" t="str">
        <f>IF(AND('Mapa final'!$J$34="Alta",'Mapa final'!$N$34="Menor"),CONCATENATE("R",'Mapa final'!$A$34),"")</f>
        <v/>
      </c>
      <c r="S16" s="311"/>
      <c r="T16" s="311" t="str">
        <f>IF(AND('Mapa final'!$J$40="Alta",'Mapa final'!$N$40="Menor"),CONCATENATE("R",'Mapa final'!$A$40),"")</f>
        <v/>
      </c>
      <c r="U16" s="312"/>
      <c r="V16" s="294" t="str">
        <f>IF(AND('Mapa final'!$J$28="Alta",'Mapa final'!$N$28="Moderado"),CONCATENATE("R",'Mapa final'!$A$28),"")</f>
        <v/>
      </c>
      <c r="W16" s="290"/>
      <c r="X16" s="290" t="str">
        <f>IF(AND('Mapa final'!$J$34="Alta",'Mapa final'!$N$34="Moderado"),CONCATENATE("R",'Mapa final'!$A$34),"")</f>
        <v/>
      </c>
      <c r="Y16" s="290"/>
      <c r="Z16" s="290" t="str">
        <f>IF(AND('Mapa final'!$J$40="Alta",'Mapa final'!$N$40="Moderado"),CONCATENATE("R",'Mapa final'!$A$40),"")</f>
        <v/>
      </c>
      <c r="AA16" s="291"/>
      <c r="AB16" s="294" t="str">
        <f>IF(AND('Mapa final'!$J$28="Alta",'Mapa final'!$N$28="Mayor"),CONCATENATE("R",'Mapa final'!$A$28),"")</f>
        <v/>
      </c>
      <c r="AC16" s="290"/>
      <c r="AD16" s="290" t="str">
        <f>IF(AND('Mapa final'!$J$34="Alta",'Mapa final'!$N$34="Mayor"),CONCATENATE("R",'Mapa final'!$A$34),"")</f>
        <v/>
      </c>
      <c r="AE16" s="290"/>
      <c r="AF16" s="290" t="str">
        <f>IF(AND('Mapa final'!$J$40="Alta",'Mapa final'!$N$40="Mayor"),CONCATENATE("R",'Mapa final'!$A$40),"")</f>
        <v/>
      </c>
      <c r="AG16" s="291"/>
      <c r="AH16" s="301" t="str">
        <f>IF(AND('Mapa final'!$J$28="Alta",'Mapa final'!$N$28="Catastrófico"),CONCATENATE("R",'Mapa final'!$A$28),"")</f>
        <v/>
      </c>
      <c r="AI16" s="302"/>
      <c r="AJ16" s="302" t="str">
        <f>IF(AND('Mapa final'!$J$34="Alta",'Mapa final'!$N$34="Catastrófico"),CONCATENATE("R",'Mapa final'!$A$34),"")</f>
        <v/>
      </c>
      <c r="AK16" s="302"/>
      <c r="AL16" s="302" t="str">
        <f>IF(AND('Mapa final'!$J$40="Alta",'Mapa final'!$N$40="Catastrófico"),CONCATENATE("R",'Mapa final'!$A$40),"")</f>
        <v/>
      </c>
      <c r="AM16" s="303"/>
      <c r="AN16" s="83"/>
      <c r="AO16" s="257"/>
      <c r="AP16" s="258"/>
      <c r="AQ16" s="258"/>
      <c r="AR16" s="258"/>
      <c r="AS16" s="258"/>
      <c r="AT16" s="25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43"/>
      <c r="C17" s="243"/>
      <c r="D17" s="244"/>
      <c r="E17" s="284"/>
      <c r="F17" s="285"/>
      <c r="G17" s="285"/>
      <c r="H17" s="285"/>
      <c r="I17" s="285"/>
      <c r="J17" s="310"/>
      <c r="K17" s="311"/>
      <c r="L17" s="311"/>
      <c r="M17" s="311"/>
      <c r="N17" s="311"/>
      <c r="O17" s="312"/>
      <c r="P17" s="310"/>
      <c r="Q17" s="311"/>
      <c r="R17" s="311"/>
      <c r="S17" s="311"/>
      <c r="T17" s="311"/>
      <c r="U17" s="312"/>
      <c r="V17" s="294"/>
      <c r="W17" s="290"/>
      <c r="X17" s="290"/>
      <c r="Y17" s="290"/>
      <c r="Z17" s="290"/>
      <c r="AA17" s="291"/>
      <c r="AB17" s="294"/>
      <c r="AC17" s="290"/>
      <c r="AD17" s="290"/>
      <c r="AE17" s="290"/>
      <c r="AF17" s="290"/>
      <c r="AG17" s="291"/>
      <c r="AH17" s="301"/>
      <c r="AI17" s="302"/>
      <c r="AJ17" s="302"/>
      <c r="AK17" s="302"/>
      <c r="AL17" s="302"/>
      <c r="AM17" s="303"/>
      <c r="AN17" s="83"/>
      <c r="AO17" s="257"/>
      <c r="AP17" s="258"/>
      <c r="AQ17" s="258"/>
      <c r="AR17" s="258"/>
      <c r="AS17" s="258"/>
      <c r="AT17" s="25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43"/>
      <c r="C18" s="243"/>
      <c r="D18" s="244"/>
      <c r="E18" s="284"/>
      <c r="F18" s="285"/>
      <c r="G18" s="285"/>
      <c r="H18" s="285"/>
      <c r="I18" s="285"/>
      <c r="J18" s="310" t="str">
        <f>IF(AND('Mapa final'!$J$46="Alta",'Mapa final'!$N$46="Leve"),CONCATENATE("R",'Mapa final'!$A$46),"")</f>
        <v/>
      </c>
      <c r="K18" s="311"/>
      <c r="L18" s="311" t="str">
        <f>IF(AND('Mapa final'!$J$52="Alta",'Mapa final'!$N$52="Leve"),CONCATENATE("R",'Mapa final'!$A$52),"")</f>
        <v/>
      </c>
      <c r="M18" s="311"/>
      <c r="N18" s="311" t="str">
        <f>IF(AND('Mapa final'!$J$58="Alta",'Mapa final'!$N$58="Leve"),CONCATENATE("R",'Mapa final'!$A$58),"")</f>
        <v/>
      </c>
      <c r="O18" s="312"/>
      <c r="P18" s="310" t="str">
        <f>IF(AND('Mapa final'!$J$46="Alta",'Mapa final'!$N$46="Menor"),CONCATENATE("R",'Mapa final'!$A$46),"")</f>
        <v/>
      </c>
      <c r="Q18" s="311"/>
      <c r="R18" s="311" t="str">
        <f>IF(AND('Mapa final'!$J$52="Alta",'Mapa final'!$N$52="Menor"),CONCATENATE("R",'Mapa final'!$A$52),"")</f>
        <v/>
      </c>
      <c r="S18" s="311"/>
      <c r="T18" s="311" t="str">
        <f>IF(AND('Mapa final'!$J$58="Alta",'Mapa final'!$N$58="Menor"),CONCATENATE("R",'Mapa final'!$A$58),"")</f>
        <v/>
      </c>
      <c r="U18" s="312"/>
      <c r="V18" s="294" t="str">
        <f>IF(AND('Mapa final'!$J$46="Alta",'Mapa final'!$N$46="Moderado"),CONCATENATE("R",'Mapa final'!$A$46),"")</f>
        <v/>
      </c>
      <c r="W18" s="290"/>
      <c r="X18" s="290" t="str">
        <f>IF(AND('Mapa final'!$J$52="Alta",'Mapa final'!$N$52="Moderado"),CONCATENATE("R",'Mapa final'!$A$52),"")</f>
        <v/>
      </c>
      <c r="Y18" s="290"/>
      <c r="Z18" s="290" t="str">
        <f>IF(AND('Mapa final'!$J$58="Alta",'Mapa final'!$N$58="Moderado"),CONCATENATE("R",'Mapa final'!$A$58),"")</f>
        <v/>
      </c>
      <c r="AA18" s="291"/>
      <c r="AB18" s="294" t="str">
        <f>IF(AND('Mapa final'!$J$46="Alta",'Mapa final'!$N$46="Mayor"),CONCATENATE("R",'Mapa final'!$A$46),"")</f>
        <v/>
      </c>
      <c r="AC18" s="290"/>
      <c r="AD18" s="290" t="str">
        <f>IF(AND('Mapa final'!$J$52="Alta",'Mapa final'!$N$52="Mayor"),CONCATENATE("R",'Mapa final'!$A$52),"")</f>
        <v/>
      </c>
      <c r="AE18" s="290"/>
      <c r="AF18" s="290" t="str">
        <f>IF(AND('Mapa final'!$J$58="Alta",'Mapa final'!$N$58="Mayor"),CONCATENATE("R",'Mapa final'!$A$58),"")</f>
        <v/>
      </c>
      <c r="AG18" s="291"/>
      <c r="AH18" s="301" t="str">
        <f>IF(AND('Mapa final'!$J$46="Alta",'Mapa final'!$N$46="Catastrófico"),CONCATENATE("R",'Mapa final'!$A$46),"")</f>
        <v/>
      </c>
      <c r="AI18" s="302"/>
      <c r="AJ18" s="302" t="str">
        <f>IF(AND('Mapa final'!$J$52="Alta",'Mapa final'!$N$52="Catastrófico"),CONCATENATE("R",'Mapa final'!$A$52),"")</f>
        <v/>
      </c>
      <c r="AK18" s="302"/>
      <c r="AL18" s="302" t="str">
        <f>IF(AND('Mapa final'!$J$58="Alta",'Mapa final'!$N$58="Catastrófico"),CONCATENATE("R",'Mapa final'!$A$58),"")</f>
        <v/>
      </c>
      <c r="AM18" s="303"/>
      <c r="AN18" s="83"/>
      <c r="AO18" s="257"/>
      <c r="AP18" s="258"/>
      <c r="AQ18" s="258"/>
      <c r="AR18" s="258"/>
      <c r="AS18" s="258"/>
      <c r="AT18" s="25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43"/>
      <c r="C19" s="243"/>
      <c r="D19" s="244"/>
      <c r="E19" s="284"/>
      <c r="F19" s="285"/>
      <c r="G19" s="285"/>
      <c r="H19" s="285"/>
      <c r="I19" s="285"/>
      <c r="J19" s="310"/>
      <c r="K19" s="311"/>
      <c r="L19" s="311"/>
      <c r="M19" s="311"/>
      <c r="N19" s="311"/>
      <c r="O19" s="312"/>
      <c r="P19" s="310"/>
      <c r="Q19" s="311"/>
      <c r="R19" s="311"/>
      <c r="S19" s="311"/>
      <c r="T19" s="311"/>
      <c r="U19" s="312"/>
      <c r="V19" s="294"/>
      <c r="W19" s="290"/>
      <c r="X19" s="290"/>
      <c r="Y19" s="290"/>
      <c r="Z19" s="290"/>
      <c r="AA19" s="291"/>
      <c r="AB19" s="294"/>
      <c r="AC19" s="290"/>
      <c r="AD19" s="290"/>
      <c r="AE19" s="290"/>
      <c r="AF19" s="290"/>
      <c r="AG19" s="291"/>
      <c r="AH19" s="301"/>
      <c r="AI19" s="302"/>
      <c r="AJ19" s="302"/>
      <c r="AK19" s="302"/>
      <c r="AL19" s="302"/>
      <c r="AM19" s="303"/>
      <c r="AN19" s="83"/>
      <c r="AO19" s="257"/>
      <c r="AP19" s="258"/>
      <c r="AQ19" s="258"/>
      <c r="AR19" s="258"/>
      <c r="AS19" s="258"/>
      <c r="AT19" s="25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43"/>
      <c r="C20" s="243"/>
      <c r="D20" s="244"/>
      <c r="E20" s="284"/>
      <c r="F20" s="285"/>
      <c r="G20" s="285"/>
      <c r="H20" s="285"/>
      <c r="I20" s="285"/>
      <c r="J20" s="310" t="str">
        <f>IF(AND('Mapa final'!$J$64="Alta",'Mapa final'!$N$64="Leve"),CONCATENATE("R",'Mapa final'!$A$64),"")</f>
        <v/>
      </c>
      <c r="K20" s="311"/>
      <c r="L20" s="311" t="str">
        <f>IF(AND('Mapa final'!$J$70="Alta",'Mapa final'!$N$70="Leve"),CONCATENATE("R",'Mapa final'!$A$70),"")</f>
        <v/>
      </c>
      <c r="M20" s="311"/>
      <c r="N20" s="311" t="str">
        <f>IF(AND('Mapa final'!$J$76="Alta",'Mapa final'!$N$76="Leve"),CONCATENATE("R",'Mapa final'!$A$76),"")</f>
        <v/>
      </c>
      <c r="O20" s="312"/>
      <c r="P20" s="310" t="str">
        <f>IF(AND('Mapa final'!$J$64="Alta",'Mapa final'!$N$64="Menor"),CONCATENATE("R",'Mapa final'!$A$64),"")</f>
        <v/>
      </c>
      <c r="Q20" s="311"/>
      <c r="R20" s="311" t="str">
        <f>IF(AND('Mapa final'!$J$70="Alta",'Mapa final'!$N$70="Menor"),CONCATENATE("R",'Mapa final'!$A$70),"")</f>
        <v/>
      </c>
      <c r="S20" s="311"/>
      <c r="T20" s="311" t="str">
        <f>IF(AND('Mapa final'!$J$76="Alta",'Mapa final'!$N$76="Menor"),CONCATENATE("R",'Mapa final'!$A$76),"")</f>
        <v/>
      </c>
      <c r="U20" s="312"/>
      <c r="V20" s="294" t="str">
        <f>IF(AND('Mapa final'!$J$64="Alta",'Mapa final'!$N$64="Moderado"),CONCATENATE("R",'Mapa final'!$A$64),"")</f>
        <v/>
      </c>
      <c r="W20" s="290"/>
      <c r="X20" s="290" t="str">
        <f>IF(AND('Mapa final'!$J$70="Alta",'Mapa final'!$N$70="Moderado"),CONCATENATE("R",'Mapa final'!$A$70),"")</f>
        <v/>
      </c>
      <c r="Y20" s="290"/>
      <c r="Z20" s="290" t="str">
        <f>IF(AND('Mapa final'!$J$76="Alta",'Mapa final'!$N$76="Moderado"),CONCATENATE("R",'Mapa final'!$A$76),"")</f>
        <v/>
      </c>
      <c r="AA20" s="291"/>
      <c r="AB20" s="294" t="str">
        <f>IF(AND('Mapa final'!$J$64="Alta",'Mapa final'!$N$64="Mayor"),CONCATENATE("R",'Mapa final'!$A$64),"")</f>
        <v/>
      </c>
      <c r="AC20" s="290"/>
      <c r="AD20" s="290" t="str">
        <f>IF(AND('Mapa final'!$J$70="Alta",'Mapa final'!$N$70="Mayor"),CONCATENATE("R",'Mapa final'!$A$70),"")</f>
        <v/>
      </c>
      <c r="AE20" s="290"/>
      <c r="AF20" s="290" t="str">
        <f>IF(AND('Mapa final'!$J$76="Alta",'Mapa final'!$N$76="Mayor"),CONCATENATE("R",'Mapa final'!$A$76),"")</f>
        <v/>
      </c>
      <c r="AG20" s="291"/>
      <c r="AH20" s="301" t="str">
        <f>IF(AND('Mapa final'!$J$64="Alta",'Mapa final'!$N$64="Catastrófico"),CONCATENATE("R",'Mapa final'!$A$64),"")</f>
        <v/>
      </c>
      <c r="AI20" s="302"/>
      <c r="AJ20" s="302" t="str">
        <f>IF(AND('Mapa final'!$J$70="Alta",'Mapa final'!$N$70="Catastrófico"),CONCATENATE("R",'Mapa final'!$A$70),"")</f>
        <v/>
      </c>
      <c r="AK20" s="302"/>
      <c r="AL20" s="302" t="str">
        <f>IF(AND('Mapa final'!$J$76="Alta",'Mapa final'!$N$76="Catastrófico"),CONCATENATE("R",'Mapa final'!$A$76),"")</f>
        <v/>
      </c>
      <c r="AM20" s="303"/>
      <c r="AN20" s="83"/>
      <c r="AO20" s="257"/>
      <c r="AP20" s="258"/>
      <c r="AQ20" s="258"/>
      <c r="AR20" s="258"/>
      <c r="AS20" s="258"/>
      <c r="AT20" s="25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43"/>
      <c r="C21" s="243"/>
      <c r="D21" s="244"/>
      <c r="E21" s="287"/>
      <c r="F21" s="288"/>
      <c r="G21" s="288"/>
      <c r="H21" s="288"/>
      <c r="I21" s="288"/>
      <c r="J21" s="313"/>
      <c r="K21" s="314"/>
      <c r="L21" s="314"/>
      <c r="M21" s="314"/>
      <c r="N21" s="314"/>
      <c r="O21" s="315"/>
      <c r="P21" s="313"/>
      <c r="Q21" s="314"/>
      <c r="R21" s="314"/>
      <c r="S21" s="314"/>
      <c r="T21" s="314"/>
      <c r="U21" s="315"/>
      <c r="V21" s="298"/>
      <c r="W21" s="299"/>
      <c r="X21" s="299"/>
      <c r="Y21" s="299"/>
      <c r="Z21" s="299"/>
      <c r="AA21" s="300"/>
      <c r="AB21" s="298"/>
      <c r="AC21" s="299"/>
      <c r="AD21" s="299"/>
      <c r="AE21" s="299"/>
      <c r="AF21" s="299"/>
      <c r="AG21" s="300"/>
      <c r="AH21" s="304"/>
      <c r="AI21" s="305"/>
      <c r="AJ21" s="305"/>
      <c r="AK21" s="305"/>
      <c r="AL21" s="305"/>
      <c r="AM21" s="306"/>
      <c r="AN21" s="83"/>
      <c r="AO21" s="260"/>
      <c r="AP21" s="261"/>
      <c r="AQ21" s="261"/>
      <c r="AR21" s="261"/>
      <c r="AS21" s="261"/>
      <c r="AT21" s="26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43"/>
      <c r="C22" s="243"/>
      <c r="D22" s="244"/>
      <c r="E22" s="281" t="s">
        <v>117</v>
      </c>
      <c r="F22" s="282"/>
      <c r="G22" s="282"/>
      <c r="H22" s="282"/>
      <c r="I22" s="283"/>
      <c r="J22" s="316" t="str">
        <f>IF(AND('Mapa final'!$J$10="Media",'Mapa final'!$N$10="Leve"),CONCATENATE("R",'Mapa final'!$A$10),"")</f>
        <v/>
      </c>
      <c r="K22" s="317"/>
      <c r="L22" s="317" t="str">
        <f>IF(AND('Mapa final'!$J$16="Media",'Mapa final'!$N$16="Leve"),CONCATENATE("R",'Mapa final'!$A$16),"")</f>
        <v/>
      </c>
      <c r="M22" s="317"/>
      <c r="N22" s="317" t="str">
        <f>IF(AND('Mapa final'!$J$22="Media",'Mapa final'!$N$22="Leve"),CONCATENATE("R",'Mapa final'!$A$22),"")</f>
        <v/>
      </c>
      <c r="O22" s="318"/>
      <c r="P22" s="316" t="str">
        <f>IF(AND('Mapa final'!$J$10="Media",'Mapa final'!$N$10="Menor"),CONCATENATE("R",'Mapa final'!$A$10),"")</f>
        <v/>
      </c>
      <c r="Q22" s="317"/>
      <c r="R22" s="317" t="str">
        <f>IF(AND('Mapa final'!$J$16="Media",'Mapa final'!$N$16="Menor"),CONCATENATE("R",'Mapa final'!$A$16),"")</f>
        <v/>
      </c>
      <c r="S22" s="317"/>
      <c r="T22" s="317" t="str">
        <f>IF(AND('Mapa final'!$J$22="Media",'Mapa final'!$N$22="Menor"),CONCATENATE("R",'Mapa final'!$A$22),"")</f>
        <v/>
      </c>
      <c r="U22" s="318"/>
      <c r="V22" s="316" t="str">
        <f>IF(AND('Mapa final'!$J$10="Media",'Mapa final'!$N$10="Moderado"),CONCATENATE("R",'Mapa final'!$A$10),"")</f>
        <v/>
      </c>
      <c r="W22" s="317"/>
      <c r="X22" s="317" t="str">
        <f>IF(AND('Mapa final'!$J$16="Media",'Mapa final'!$N$16="Moderado"),CONCATENATE("R",'Mapa final'!$A$16),"")</f>
        <v/>
      </c>
      <c r="Y22" s="317"/>
      <c r="Z22" s="317" t="str">
        <f>IF(AND('Mapa final'!$J$22="Media",'Mapa final'!$N$22="Moderado"),CONCATENATE("R",'Mapa final'!$A$22),"")</f>
        <v/>
      </c>
      <c r="AA22" s="318"/>
      <c r="AB22" s="292" t="str">
        <f>IF(AND('Mapa final'!$J$10="Media",'Mapa final'!$N$10="Mayor"),CONCATENATE("R",'Mapa final'!$A$10),"")</f>
        <v/>
      </c>
      <c r="AC22" s="293"/>
      <c r="AD22" s="293" t="str">
        <f>IF(AND('Mapa final'!$J$16="Media",'Mapa final'!$N$16="Mayor"),CONCATENATE("R",'Mapa final'!$A$16),"")</f>
        <v/>
      </c>
      <c r="AE22" s="293"/>
      <c r="AF22" s="293" t="str">
        <f>IF(AND('Mapa final'!$J$22="Media",'Mapa final'!$N$22="Mayor"),CONCATENATE("R",'Mapa final'!$A$22),"")</f>
        <v>R3</v>
      </c>
      <c r="AG22" s="295"/>
      <c r="AH22" s="307" t="str">
        <f>IF(AND('Mapa final'!$J$10="Media",'Mapa final'!$N$10="Catastrófico"),CONCATENATE("R",'Mapa final'!$A$10),"")</f>
        <v/>
      </c>
      <c r="AI22" s="308"/>
      <c r="AJ22" s="308" t="str">
        <f>IF(AND('Mapa final'!$J$16="Media",'Mapa final'!$N$16="Catastrófico"),CONCATENATE("R",'Mapa final'!$A$16),"")</f>
        <v/>
      </c>
      <c r="AK22" s="308"/>
      <c r="AL22" s="308" t="str">
        <f>IF(AND('Mapa final'!$J$22="Media",'Mapa final'!$N$22="Catastrófico"),CONCATENATE("R",'Mapa final'!$A$22),"")</f>
        <v/>
      </c>
      <c r="AM22" s="309"/>
      <c r="AN22" s="83"/>
      <c r="AO22" s="263" t="s">
        <v>81</v>
      </c>
      <c r="AP22" s="264"/>
      <c r="AQ22" s="264"/>
      <c r="AR22" s="264"/>
      <c r="AS22" s="264"/>
      <c r="AT22" s="26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43"/>
      <c r="C23" s="243"/>
      <c r="D23" s="244"/>
      <c r="E23" s="284"/>
      <c r="F23" s="285"/>
      <c r="G23" s="285"/>
      <c r="H23" s="285"/>
      <c r="I23" s="286"/>
      <c r="J23" s="310"/>
      <c r="K23" s="311"/>
      <c r="L23" s="311"/>
      <c r="M23" s="311"/>
      <c r="N23" s="311"/>
      <c r="O23" s="312"/>
      <c r="P23" s="310"/>
      <c r="Q23" s="311"/>
      <c r="R23" s="311"/>
      <c r="S23" s="311"/>
      <c r="T23" s="311"/>
      <c r="U23" s="312"/>
      <c r="V23" s="310"/>
      <c r="W23" s="311"/>
      <c r="X23" s="311"/>
      <c r="Y23" s="311"/>
      <c r="Z23" s="311"/>
      <c r="AA23" s="312"/>
      <c r="AB23" s="294"/>
      <c r="AC23" s="290"/>
      <c r="AD23" s="290"/>
      <c r="AE23" s="290"/>
      <c r="AF23" s="290"/>
      <c r="AG23" s="291"/>
      <c r="AH23" s="301"/>
      <c r="AI23" s="302"/>
      <c r="AJ23" s="302"/>
      <c r="AK23" s="302"/>
      <c r="AL23" s="302"/>
      <c r="AM23" s="303"/>
      <c r="AN23" s="83"/>
      <c r="AO23" s="266"/>
      <c r="AP23" s="267"/>
      <c r="AQ23" s="267"/>
      <c r="AR23" s="267"/>
      <c r="AS23" s="267"/>
      <c r="AT23" s="26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43"/>
      <c r="C24" s="243"/>
      <c r="D24" s="244"/>
      <c r="E24" s="284"/>
      <c r="F24" s="285"/>
      <c r="G24" s="285"/>
      <c r="H24" s="285"/>
      <c r="I24" s="286"/>
      <c r="J24" s="310" t="str">
        <f>IF(AND('Mapa final'!$J$28="Media",'Mapa final'!$N$28="Leve"),CONCATENATE("R",'Mapa final'!$A$28),"")</f>
        <v/>
      </c>
      <c r="K24" s="311"/>
      <c r="L24" s="311" t="str">
        <f>IF(AND('Mapa final'!$J$34="Media",'Mapa final'!$N$34="Leve"),CONCATENATE("R",'Mapa final'!$A$34),"")</f>
        <v/>
      </c>
      <c r="M24" s="311"/>
      <c r="N24" s="311" t="str">
        <f>IF(AND('Mapa final'!$J$40="Media",'Mapa final'!$N$40="Leve"),CONCATENATE("R",'Mapa final'!$A$40),"")</f>
        <v/>
      </c>
      <c r="O24" s="312"/>
      <c r="P24" s="310" t="str">
        <f>IF(AND('Mapa final'!$J$28="Media",'Mapa final'!$N$28="Menor"),CONCATENATE("R",'Mapa final'!$A$28),"")</f>
        <v/>
      </c>
      <c r="Q24" s="311"/>
      <c r="R24" s="311" t="str">
        <f>IF(AND('Mapa final'!$J$34="Media",'Mapa final'!$N$34="Menor"),CONCATENATE("R",'Mapa final'!$A$34),"")</f>
        <v/>
      </c>
      <c r="S24" s="311"/>
      <c r="T24" s="311" t="str">
        <f>IF(AND('Mapa final'!$J$40="Media",'Mapa final'!$N$40="Menor"),CONCATENATE("R",'Mapa final'!$A$40),"")</f>
        <v/>
      </c>
      <c r="U24" s="312"/>
      <c r="V24" s="310" t="str">
        <f>IF(AND('Mapa final'!$J$28="Media",'Mapa final'!$N$28="Moderado"),CONCATENATE("R",'Mapa final'!$A$28),"")</f>
        <v/>
      </c>
      <c r="W24" s="311"/>
      <c r="X24" s="311" t="str">
        <f>IF(AND('Mapa final'!$J$34="Media",'Mapa final'!$N$34="Moderado"),CONCATENATE("R",'Mapa final'!$A$34),"")</f>
        <v/>
      </c>
      <c r="Y24" s="311"/>
      <c r="Z24" s="311" t="str">
        <f>IF(AND('Mapa final'!$J$40="Media",'Mapa final'!$N$40="Moderado"),CONCATENATE("R",'Mapa final'!$A$40),"")</f>
        <v/>
      </c>
      <c r="AA24" s="312"/>
      <c r="AB24" s="294" t="str">
        <f>IF(AND('Mapa final'!$J$28="Media",'Mapa final'!$N$28="Mayor"),CONCATENATE("R",'Mapa final'!$A$28),"")</f>
        <v/>
      </c>
      <c r="AC24" s="290"/>
      <c r="AD24" s="290" t="str">
        <f>IF(AND('Mapa final'!$J$34="Media",'Mapa final'!$N$34="Mayor"),CONCATENATE("R",'Mapa final'!$A$34),"")</f>
        <v/>
      </c>
      <c r="AE24" s="290"/>
      <c r="AF24" s="290" t="str">
        <f>IF(AND('Mapa final'!$J$40="Media",'Mapa final'!$N$40="Mayor"),CONCATENATE("R",'Mapa final'!$A$40),"")</f>
        <v/>
      </c>
      <c r="AG24" s="291"/>
      <c r="AH24" s="301" t="str">
        <f>IF(AND('Mapa final'!$J$28="Media",'Mapa final'!$N$28="Catastrófico"),CONCATENATE("R",'Mapa final'!$A$28),"")</f>
        <v/>
      </c>
      <c r="AI24" s="302"/>
      <c r="AJ24" s="302" t="str">
        <f>IF(AND('Mapa final'!$J$34="Media",'Mapa final'!$N$34="Catastrófico"),CONCATENATE("R",'Mapa final'!$A$34),"")</f>
        <v/>
      </c>
      <c r="AK24" s="302"/>
      <c r="AL24" s="302" t="str">
        <f>IF(AND('Mapa final'!$J$40="Media",'Mapa final'!$N$40="Catastrófico"),CONCATENATE("R",'Mapa final'!$A$40),"")</f>
        <v/>
      </c>
      <c r="AM24" s="303"/>
      <c r="AN24" s="83"/>
      <c r="AO24" s="266"/>
      <c r="AP24" s="267"/>
      <c r="AQ24" s="267"/>
      <c r="AR24" s="267"/>
      <c r="AS24" s="267"/>
      <c r="AT24" s="26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43"/>
      <c r="C25" s="243"/>
      <c r="D25" s="244"/>
      <c r="E25" s="284"/>
      <c r="F25" s="285"/>
      <c r="G25" s="285"/>
      <c r="H25" s="285"/>
      <c r="I25" s="286"/>
      <c r="J25" s="310"/>
      <c r="K25" s="311"/>
      <c r="L25" s="311"/>
      <c r="M25" s="311"/>
      <c r="N25" s="311"/>
      <c r="O25" s="312"/>
      <c r="P25" s="310"/>
      <c r="Q25" s="311"/>
      <c r="R25" s="311"/>
      <c r="S25" s="311"/>
      <c r="T25" s="311"/>
      <c r="U25" s="312"/>
      <c r="V25" s="310"/>
      <c r="W25" s="311"/>
      <c r="X25" s="311"/>
      <c r="Y25" s="311"/>
      <c r="Z25" s="311"/>
      <c r="AA25" s="312"/>
      <c r="AB25" s="294"/>
      <c r="AC25" s="290"/>
      <c r="AD25" s="290"/>
      <c r="AE25" s="290"/>
      <c r="AF25" s="290"/>
      <c r="AG25" s="291"/>
      <c r="AH25" s="301"/>
      <c r="AI25" s="302"/>
      <c r="AJ25" s="302"/>
      <c r="AK25" s="302"/>
      <c r="AL25" s="302"/>
      <c r="AM25" s="303"/>
      <c r="AN25" s="83"/>
      <c r="AO25" s="266"/>
      <c r="AP25" s="267"/>
      <c r="AQ25" s="267"/>
      <c r="AR25" s="267"/>
      <c r="AS25" s="267"/>
      <c r="AT25" s="26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43"/>
      <c r="C26" s="243"/>
      <c r="D26" s="244"/>
      <c r="E26" s="284"/>
      <c r="F26" s="285"/>
      <c r="G26" s="285"/>
      <c r="H26" s="285"/>
      <c r="I26" s="286"/>
      <c r="J26" s="310" t="str">
        <f>IF(AND('Mapa final'!$J$46="Media",'Mapa final'!$N$46="Leve"),CONCATENATE("R",'Mapa final'!$A$46),"")</f>
        <v/>
      </c>
      <c r="K26" s="311"/>
      <c r="L26" s="311" t="str">
        <f>IF(AND('Mapa final'!$J$52="Media",'Mapa final'!$N$52="Leve"),CONCATENATE("R",'Mapa final'!$A$52),"")</f>
        <v/>
      </c>
      <c r="M26" s="311"/>
      <c r="N26" s="311" t="str">
        <f>IF(AND('Mapa final'!$J$58="Media",'Mapa final'!$N$58="Leve"),CONCATENATE("R",'Mapa final'!$A$58),"")</f>
        <v/>
      </c>
      <c r="O26" s="312"/>
      <c r="P26" s="310" t="str">
        <f>IF(AND('Mapa final'!$J$46="Media",'Mapa final'!$N$46="Menor"),CONCATENATE("R",'Mapa final'!$A$46),"")</f>
        <v/>
      </c>
      <c r="Q26" s="311"/>
      <c r="R26" s="311" t="str">
        <f>IF(AND('Mapa final'!$J$52="Media",'Mapa final'!$N$52="Menor"),CONCATENATE("R",'Mapa final'!$A$52),"")</f>
        <v/>
      </c>
      <c r="S26" s="311"/>
      <c r="T26" s="311" t="str">
        <f>IF(AND('Mapa final'!$J$58="Media",'Mapa final'!$N$58="Menor"),CONCATENATE("R",'Mapa final'!$A$58),"")</f>
        <v/>
      </c>
      <c r="U26" s="312"/>
      <c r="V26" s="310" t="str">
        <f>IF(AND('Mapa final'!$J$46="Media",'Mapa final'!$N$46="Moderado"),CONCATENATE("R",'Mapa final'!$A$46),"")</f>
        <v/>
      </c>
      <c r="W26" s="311"/>
      <c r="X26" s="311" t="str">
        <f>IF(AND('Mapa final'!$J$52="Media",'Mapa final'!$N$52="Moderado"),CONCATENATE("R",'Mapa final'!$A$52),"")</f>
        <v/>
      </c>
      <c r="Y26" s="311"/>
      <c r="Z26" s="311" t="str">
        <f>IF(AND('Mapa final'!$J$58="Media",'Mapa final'!$N$58="Moderado"),CONCATENATE("R",'Mapa final'!$A$58),"")</f>
        <v/>
      </c>
      <c r="AA26" s="312"/>
      <c r="AB26" s="294" t="str">
        <f>IF(AND('Mapa final'!$J$46="Media",'Mapa final'!$N$46="Mayor"),CONCATENATE("R",'Mapa final'!$A$46),"")</f>
        <v/>
      </c>
      <c r="AC26" s="290"/>
      <c r="AD26" s="290" t="str">
        <f>IF(AND('Mapa final'!$J$52="Media",'Mapa final'!$N$52="Mayor"),CONCATENATE("R",'Mapa final'!$A$52),"")</f>
        <v/>
      </c>
      <c r="AE26" s="290"/>
      <c r="AF26" s="290" t="str">
        <f>IF(AND('Mapa final'!$J$58="Media",'Mapa final'!$N$58="Mayor"),CONCATENATE("R",'Mapa final'!$A$58),"")</f>
        <v/>
      </c>
      <c r="AG26" s="291"/>
      <c r="AH26" s="301" t="str">
        <f>IF(AND('Mapa final'!$J$46="Media",'Mapa final'!$N$46="Catastrófico"),CONCATENATE("R",'Mapa final'!$A$46),"")</f>
        <v/>
      </c>
      <c r="AI26" s="302"/>
      <c r="AJ26" s="302" t="str">
        <f>IF(AND('Mapa final'!$J$52="Media",'Mapa final'!$N$52="Catastrófico"),CONCATENATE("R",'Mapa final'!$A$52),"")</f>
        <v/>
      </c>
      <c r="AK26" s="302"/>
      <c r="AL26" s="302" t="str">
        <f>IF(AND('Mapa final'!$J$58="Media",'Mapa final'!$N$58="Catastrófico"),CONCATENATE("R",'Mapa final'!$A$58),"")</f>
        <v/>
      </c>
      <c r="AM26" s="303"/>
      <c r="AN26" s="83"/>
      <c r="AO26" s="266"/>
      <c r="AP26" s="267"/>
      <c r="AQ26" s="267"/>
      <c r="AR26" s="267"/>
      <c r="AS26" s="267"/>
      <c r="AT26" s="26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43"/>
      <c r="C27" s="243"/>
      <c r="D27" s="244"/>
      <c r="E27" s="284"/>
      <c r="F27" s="285"/>
      <c r="G27" s="285"/>
      <c r="H27" s="285"/>
      <c r="I27" s="286"/>
      <c r="J27" s="310"/>
      <c r="K27" s="311"/>
      <c r="L27" s="311"/>
      <c r="M27" s="311"/>
      <c r="N27" s="311"/>
      <c r="O27" s="312"/>
      <c r="P27" s="310"/>
      <c r="Q27" s="311"/>
      <c r="R27" s="311"/>
      <c r="S27" s="311"/>
      <c r="T27" s="311"/>
      <c r="U27" s="312"/>
      <c r="V27" s="310"/>
      <c r="W27" s="311"/>
      <c r="X27" s="311"/>
      <c r="Y27" s="311"/>
      <c r="Z27" s="311"/>
      <c r="AA27" s="312"/>
      <c r="AB27" s="294"/>
      <c r="AC27" s="290"/>
      <c r="AD27" s="290"/>
      <c r="AE27" s="290"/>
      <c r="AF27" s="290"/>
      <c r="AG27" s="291"/>
      <c r="AH27" s="301"/>
      <c r="AI27" s="302"/>
      <c r="AJ27" s="302"/>
      <c r="AK27" s="302"/>
      <c r="AL27" s="302"/>
      <c r="AM27" s="303"/>
      <c r="AN27" s="83"/>
      <c r="AO27" s="266"/>
      <c r="AP27" s="267"/>
      <c r="AQ27" s="267"/>
      <c r="AR27" s="267"/>
      <c r="AS27" s="267"/>
      <c r="AT27" s="2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43"/>
      <c r="C28" s="243"/>
      <c r="D28" s="244"/>
      <c r="E28" s="284"/>
      <c r="F28" s="285"/>
      <c r="G28" s="285"/>
      <c r="H28" s="285"/>
      <c r="I28" s="286"/>
      <c r="J28" s="310" t="str">
        <f>IF(AND('Mapa final'!$J$64="Media",'Mapa final'!$N$64="Leve"),CONCATENATE("R",'Mapa final'!$A$64),"")</f>
        <v/>
      </c>
      <c r="K28" s="311"/>
      <c r="L28" s="311" t="str">
        <f>IF(AND('Mapa final'!$J$70="Media",'Mapa final'!$N$70="Leve"),CONCATENATE("R",'Mapa final'!$A$70),"")</f>
        <v/>
      </c>
      <c r="M28" s="311"/>
      <c r="N28" s="311" t="str">
        <f>IF(AND('Mapa final'!$J$76="Media",'Mapa final'!$N$76="Leve"),CONCATENATE("R",'Mapa final'!$A$76),"")</f>
        <v/>
      </c>
      <c r="O28" s="312"/>
      <c r="P28" s="310" t="str">
        <f>IF(AND('Mapa final'!$J$64="Media",'Mapa final'!$N$64="Menor"),CONCATENATE("R",'Mapa final'!$A$64),"")</f>
        <v/>
      </c>
      <c r="Q28" s="311"/>
      <c r="R28" s="311" t="str">
        <f>IF(AND('Mapa final'!$J$70="Media",'Mapa final'!$N$70="Menor"),CONCATENATE("R",'Mapa final'!$A$70),"")</f>
        <v/>
      </c>
      <c r="S28" s="311"/>
      <c r="T28" s="311" t="str">
        <f>IF(AND('Mapa final'!$J$76="Media",'Mapa final'!$N$76="Menor"),CONCATENATE("R",'Mapa final'!$A$76),"")</f>
        <v/>
      </c>
      <c r="U28" s="312"/>
      <c r="V28" s="310" t="str">
        <f>IF(AND('Mapa final'!$J$64="Media",'Mapa final'!$N$64="Moderado"),CONCATENATE("R",'Mapa final'!$A$64),"")</f>
        <v/>
      </c>
      <c r="W28" s="311"/>
      <c r="X28" s="311" t="str">
        <f>IF(AND('Mapa final'!$J$70="Media",'Mapa final'!$N$70="Moderado"),CONCATENATE("R",'Mapa final'!$A$70),"")</f>
        <v/>
      </c>
      <c r="Y28" s="311"/>
      <c r="Z28" s="311" t="str">
        <f>IF(AND('Mapa final'!$J$76="Media",'Mapa final'!$N$76="Moderado"),CONCATENATE("R",'Mapa final'!$A$76),"")</f>
        <v/>
      </c>
      <c r="AA28" s="312"/>
      <c r="AB28" s="294" t="str">
        <f>IF(AND('Mapa final'!$J$64="Media",'Mapa final'!$N$64="Mayor"),CONCATENATE("R",'Mapa final'!$A$64),"")</f>
        <v/>
      </c>
      <c r="AC28" s="290"/>
      <c r="AD28" s="290" t="str">
        <f>IF(AND('Mapa final'!$J$70="Media",'Mapa final'!$N$70="Mayor"),CONCATENATE("R",'Mapa final'!$A$70),"")</f>
        <v/>
      </c>
      <c r="AE28" s="290"/>
      <c r="AF28" s="290" t="str">
        <f>IF(AND('Mapa final'!$J$76="Media",'Mapa final'!$N$76="Mayor"),CONCATENATE("R",'Mapa final'!$A$76),"")</f>
        <v/>
      </c>
      <c r="AG28" s="291"/>
      <c r="AH28" s="301" t="str">
        <f>IF(AND('Mapa final'!$J$64="Media",'Mapa final'!$N$64="Catastrófico"),CONCATENATE("R",'Mapa final'!$A$64),"")</f>
        <v/>
      </c>
      <c r="AI28" s="302"/>
      <c r="AJ28" s="302" t="str">
        <f>IF(AND('Mapa final'!$J$70="Media",'Mapa final'!$N$70="Catastrófico"),CONCATENATE("R",'Mapa final'!$A$70),"")</f>
        <v/>
      </c>
      <c r="AK28" s="302"/>
      <c r="AL28" s="302" t="str">
        <f>IF(AND('Mapa final'!$J$76="Media",'Mapa final'!$N$76="Catastrófico"),CONCATENATE("R",'Mapa final'!$A$76),"")</f>
        <v/>
      </c>
      <c r="AM28" s="303"/>
      <c r="AN28" s="83"/>
      <c r="AO28" s="266"/>
      <c r="AP28" s="267"/>
      <c r="AQ28" s="267"/>
      <c r="AR28" s="267"/>
      <c r="AS28" s="267"/>
      <c r="AT28" s="2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43"/>
      <c r="C29" s="243"/>
      <c r="D29" s="244"/>
      <c r="E29" s="287"/>
      <c r="F29" s="288"/>
      <c r="G29" s="288"/>
      <c r="H29" s="288"/>
      <c r="I29" s="289"/>
      <c r="J29" s="310"/>
      <c r="K29" s="311"/>
      <c r="L29" s="311"/>
      <c r="M29" s="311"/>
      <c r="N29" s="311"/>
      <c r="O29" s="312"/>
      <c r="P29" s="313"/>
      <c r="Q29" s="314"/>
      <c r="R29" s="314"/>
      <c r="S29" s="314"/>
      <c r="T29" s="314"/>
      <c r="U29" s="315"/>
      <c r="V29" s="313"/>
      <c r="W29" s="314"/>
      <c r="X29" s="314"/>
      <c r="Y29" s="314"/>
      <c r="Z29" s="314"/>
      <c r="AA29" s="315"/>
      <c r="AB29" s="298"/>
      <c r="AC29" s="299"/>
      <c r="AD29" s="299"/>
      <c r="AE29" s="299"/>
      <c r="AF29" s="299"/>
      <c r="AG29" s="300"/>
      <c r="AH29" s="304"/>
      <c r="AI29" s="305"/>
      <c r="AJ29" s="305"/>
      <c r="AK29" s="305"/>
      <c r="AL29" s="305"/>
      <c r="AM29" s="306"/>
      <c r="AN29" s="83"/>
      <c r="AO29" s="269"/>
      <c r="AP29" s="270"/>
      <c r="AQ29" s="270"/>
      <c r="AR29" s="270"/>
      <c r="AS29" s="270"/>
      <c r="AT29" s="27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43"/>
      <c r="C30" s="243"/>
      <c r="D30" s="244"/>
      <c r="E30" s="281" t="s">
        <v>114</v>
      </c>
      <c r="F30" s="282"/>
      <c r="G30" s="282"/>
      <c r="H30" s="282"/>
      <c r="I30" s="282"/>
      <c r="J30" s="325" t="str">
        <f>IF(AND('Mapa final'!$J$10="Baja",'Mapa final'!$N$10="Leve"),CONCATENATE("R",'Mapa final'!$A$10),"")</f>
        <v/>
      </c>
      <c r="K30" s="326"/>
      <c r="L30" s="326" t="str">
        <f>IF(AND('Mapa final'!$J$16="Baja",'Mapa final'!$N$16="Leve"),CONCATENATE("R",'Mapa final'!$A$16),"")</f>
        <v/>
      </c>
      <c r="M30" s="326"/>
      <c r="N30" s="326" t="str">
        <f>IF(AND('Mapa final'!$J$22="Baja",'Mapa final'!$N$22="Leve"),CONCATENATE("R",'Mapa final'!$A$22),"")</f>
        <v/>
      </c>
      <c r="O30" s="327"/>
      <c r="P30" s="317" t="str">
        <f>IF(AND('Mapa final'!$J$10="Baja",'Mapa final'!$N$10="Menor"),CONCATENATE("R",'Mapa final'!$A$10),"")</f>
        <v>R1</v>
      </c>
      <c r="Q30" s="317"/>
      <c r="R30" s="317" t="str">
        <f>IF(AND('Mapa final'!$J$16="Baja",'Mapa final'!$N$16="Menor"),CONCATENATE("R",'Mapa final'!$A$16),"")</f>
        <v/>
      </c>
      <c r="S30" s="317"/>
      <c r="T30" s="317" t="str">
        <f>IF(AND('Mapa final'!$J$22="Baja",'Mapa final'!$N$22="Menor"),CONCATENATE("R",'Mapa final'!$A$22),"")</f>
        <v/>
      </c>
      <c r="U30" s="318"/>
      <c r="V30" s="316" t="str">
        <f>IF(AND('Mapa final'!$J$10="Baja",'Mapa final'!$N$10="Moderado"),CONCATENATE("R",'Mapa final'!$A$10),"")</f>
        <v/>
      </c>
      <c r="W30" s="317"/>
      <c r="X30" s="317" t="str">
        <f>IF(AND('Mapa final'!$J$16="Baja",'Mapa final'!$N$16="Moderado"),CONCATENATE("R",'Mapa final'!$A$16),"")</f>
        <v/>
      </c>
      <c r="Y30" s="317"/>
      <c r="Z30" s="317" t="str">
        <f>IF(AND('Mapa final'!$J$22="Baja",'Mapa final'!$N$22="Moderado"),CONCATENATE("R",'Mapa final'!$A$22),"")</f>
        <v/>
      </c>
      <c r="AA30" s="318"/>
      <c r="AB30" s="292" t="str">
        <f>IF(AND('Mapa final'!$J$10="Baja",'Mapa final'!$N$10="Mayor"),CONCATENATE("R",'Mapa final'!$A$10),"")</f>
        <v/>
      </c>
      <c r="AC30" s="293"/>
      <c r="AD30" s="293" t="str">
        <f>IF(AND('Mapa final'!$J$16="Baja",'Mapa final'!$N$16="Mayor"),CONCATENATE("R",'Mapa final'!$A$16),"")</f>
        <v>R2</v>
      </c>
      <c r="AE30" s="293"/>
      <c r="AF30" s="293" t="str">
        <f>IF(AND('Mapa final'!$J$22="Baja",'Mapa final'!$N$22="Mayor"),CONCATENATE("R",'Mapa final'!$A$22),"")</f>
        <v/>
      </c>
      <c r="AG30" s="295"/>
      <c r="AH30" s="307" t="str">
        <f>IF(AND('Mapa final'!$J$10="Baja",'Mapa final'!$N$10="Catastrófico"),CONCATENATE("R",'Mapa final'!$A$10),"")</f>
        <v/>
      </c>
      <c r="AI30" s="308"/>
      <c r="AJ30" s="308" t="str">
        <f>IF(AND('Mapa final'!$J$16="Baja",'Mapa final'!$N$16="Catastrófico"),CONCATENATE("R",'Mapa final'!$A$16),"")</f>
        <v/>
      </c>
      <c r="AK30" s="308"/>
      <c r="AL30" s="308" t="str">
        <f>IF(AND('Mapa final'!$J$22="Baja",'Mapa final'!$N$22="Catastrófico"),CONCATENATE("R",'Mapa final'!$A$22),"")</f>
        <v/>
      </c>
      <c r="AM30" s="309"/>
      <c r="AN30" s="83"/>
      <c r="AO30" s="272" t="s">
        <v>82</v>
      </c>
      <c r="AP30" s="273"/>
      <c r="AQ30" s="273"/>
      <c r="AR30" s="273"/>
      <c r="AS30" s="273"/>
      <c r="AT30" s="27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43"/>
      <c r="C31" s="243"/>
      <c r="D31" s="244"/>
      <c r="E31" s="284"/>
      <c r="F31" s="285"/>
      <c r="G31" s="285"/>
      <c r="H31" s="285"/>
      <c r="I31" s="285"/>
      <c r="J31" s="321"/>
      <c r="K31" s="319"/>
      <c r="L31" s="319"/>
      <c r="M31" s="319"/>
      <c r="N31" s="319"/>
      <c r="O31" s="320"/>
      <c r="P31" s="311"/>
      <c r="Q31" s="311"/>
      <c r="R31" s="311"/>
      <c r="S31" s="311"/>
      <c r="T31" s="311"/>
      <c r="U31" s="312"/>
      <c r="V31" s="310"/>
      <c r="W31" s="311"/>
      <c r="X31" s="311"/>
      <c r="Y31" s="311"/>
      <c r="Z31" s="311"/>
      <c r="AA31" s="312"/>
      <c r="AB31" s="294"/>
      <c r="AC31" s="290"/>
      <c r="AD31" s="290"/>
      <c r="AE31" s="290"/>
      <c r="AF31" s="290"/>
      <c r="AG31" s="291"/>
      <c r="AH31" s="301"/>
      <c r="AI31" s="302"/>
      <c r="AJ31" s="302"/>
      <c r="AK31" s="302"/>
      <c r="AL31" s="302"/>
      <c r="AM31" s="303"/>
      <c r="AN31" s="83"/>
      <c r="AO31" s="275"/>
      <c r="AP31" s="276"/>
      <c r="AQ31" s="276"/>
      <c r="AR31" s="276"/>
      <c r="AS31" s="276"/>
      <c r="AT31" s="27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43"/>
      <c r="C32" s="243"/>
      <c r="D32" s="244"/>
      <c r="E32" s="284"/>
      <c r="F32" s="285"/>
      <c r="G32" s="285"/>
      <c r="H32" s="285"/>
      <c r="I32" s="285"/>
      <c r="J32" s="321" t="str">
        <f>IF(AND('Mapa final'!$J$28="Baja",'Mapa final'!$N$28="Leve"),CONCATENATE("R",'Mapa final'!$A$28),"")</f>
        <v/>
      </c>
      <c r="K32" s="319"/>
      <c r="L32" s="319" t="str">
        <f>IF(AND('Mapa final'!$J$34="Baja",'Mapa final'!$N$34="Leve"),CONCATENATE("R",'Mapa final'!$A$34),"")</f>
        <v/>
      </c>
      <c r="M32" s="319"/>
      <c r="N32" s="319" t="str">
        <f>IF(AND('Mapa final'!$J$40="Baja",'Mapa final'!$N$40="Leve"),CONCATENATE("R",'Mapa final'!$A$40),"")</f>
        <v/>
      </c>
      <c r="O32" s="320"/>
      <c r="P32" s="311" t="str">
        <f>IF(AND('Mapa final'!$J$28="Baja",'Mapa final'!$N$28="Menor"),CONCATENATE("R",'Mapa final'!$A$28),"")</f>
        <v/>
      </c>
      <c r="Q32" s="311"/>
      <c r="R32" s="311" t="str">
        <f>IF(AND('Mapa final'!$J$34="Baja",'Mapa final'!$N$34="Menor"),CONCATENATE("R",'Mapa final'!$A$34),"")</f>
        <v/>
      </c>
      <c r="S32" s="311"/>
      <c r="T32" s="311" t="str">
        <f>IF(AND('Mapa final'!$J$40="Baja",'Mapa final'!$N$40="Menor"),CONCATENATE("R",'Mapa final'!$A$40),"")</f>
        <v/>
      </c>
      <c r="U32" s="312"/>
      <c r="V32" s="310" t="str">
        <f>IF(AND('Mapa final'!$J$28="Baja",'Mapa final'!$N$28="Moderado"),CONCATENATE("R",'Mapa final'!$A$28),"")</f>
        <v/>
      </c>
      <c r="W32" s="311"/>
      <c r="X32" s="311" t="str">
        <f>IF(AND('Mapa final'!$J$34="Baja",'Mapa final'!$N$34="Moderado"),CONCATENATE("R",'Mapa final'!$A$34),"")</f>
        <v/>
      </c>
      <c r="Y32" s="311"/>
      <c r="Z32" s="311" t="str">
        <f>IF(AND('Mapa final'!$J$40="Baja",'Mapa final'!$N$40="Moderado"),CONCATENATE("R",'Mapa final'!$A$40),"")</f>
        <v/>
      </c>
      <c r="AA32" s="312"/>
      <c r="AB32" s="294" t="str">
        <f>IF(AND('Mapa final'!$J$28="Baja",'Mapa final'!$N$28="Mayor"),CONCATENATE("R",'Mapa final'!$A$28),"")</f>
        <v/>
      </c>
      <c r="AC32" s="290"/>
      <c r="AD32" s="290" t="str">
        <f>IF(AND('Mapa final'!$J$34="Baja",'Mapa final'!$N$34="Mayor"),CONCATENATE("R",'Mapa final'!$A$34),"")</f>
        <v/>
      </c>
      <c r="AE32" s="290"/>
      <c r="AF32" s="290" t="str">
        <f>IF(AND('Mapa final'!$J$40="Baja",'Mapa final'!$N$40="Mayor"),CONCATENATE("R",'Mapa final'!$A$40),"")</f>
        <v/>
      </c>
      <c r="AG32" s="291"/>
      <c r="AH32" s="301" t="str">
        <f>IF(AND('Mapa final'!$J$28="Baja",'Mapa final'!$N$28="Catastrófico"),CONCATENATE("R",'Mapa final'!$A$28),"")</f>
        <v/>
      </c>
      <c r="AI32" s="302"/>
      <c r="AJ32" s="302" t="str">
        <f>IF(AND('Mapa final'!$J$34="Baja",'Mapa final'!$N$34="Catastrófico"),CONCATENATE("R",'Mapa final'!$A$34),"")</f>
        <v/>
      </c>
      <c r="AK32" s="302"/>
      <c r="AL32" s="302" t="str">
        <f>IF(AND('Mapa final'!$J$40="Baja",'Mapa final'!$N$40="Catastrófico"),CONCATENATE("R",'Mapa final'!$A$40),"")</f>
        <v/>
      </c>
      <c r="AM32" s="303"/>
      <c r="AN32" s="83"/>
      <c r="AO32" s="275"/>
      <c r="AP32" s="276"/>
      <c r="AQ32" s="276"/>
      <c r="AR32" s="276"/>
      <c r="AS32" s="276"/>
      <c r="AT32" s="27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43"/>
      <c r="C33" s="243"/>
      <c r="D33" s="244"/>
      <c r="E33" s="284"/>
      <c r="F33" s="285"/>
      <c r="G33" s="285"/>
      <c r="H33" s="285"/>
      <c r="I33" s="285"/>
      <c r="J33" s="321"/>
      <c r="K33" s="319"/>
      <c r="L33" s="319"/>
      <c r="M33" s="319"/>
      <c r="N33" s="319"/>
      <c r="O33" s="320"/>
      <c r="P33" s="311"/>
      <c r="Q33" s="311"/>
      <c r="R33" s="311"/>
      <c r="S33" s="311"/>
      <c r="T33" s="311"/>
      <c r="U33" s="312"/>
      <c r="V33" s="310"/>
      <c r="W33" s="311"/>
      <c r="X33" s="311"/>
      <c r="Y33" s="311"/>
      <c r="Z33" s="311"/>
      <c r="AA33" s="312"/>
      <c r="AB33" s="294"/>
      <c r="AC33" s="290"/>
      <c r="AD33" s="290"/>
      <c r="AE33" s="290"/>
      <c r="AF33" s="290"/>
      <c r="AG33" s="291"/>
      <c r="AH33" s="301"/>
      <c r="AI33" s="302"/>
      <c r="AJ33" s="302"/>
      <c r="AK33" s="302"/>
      <c r="AL33" s="302"/>
      <c r="AM33" s="303"/>
      <c r="AN33" s="83"/>
      <c r="AO33" s="275"/>
      <c r="AP33" s="276"/>
      <c r="AQ33" s="276"/>
      <c r="AR33" s="276"/>
      <c r="AS33" s="276"/>
      <c r="AT33" s="27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43"/>
      <c r="C34" s="243"/>
      <c r="D34" s="244"/>
      <c r="E34" s="284"/>
      <c r="F34" s="285"/>
      <c r="G34" s="285"/>
      <c r="H34" s="285"/>
      <c r="I34" s="285"/>
      <c r="J34" s="321" t="str">
        <f>IF(AND('Mapa final'!$J$46="Baja",'Mapa final'!$N$46="Leve"),CONCATENATE("R",'Mapa final'!$A$46),"")</f>
        <v/>
      </c>
      <c r="K34" s="319"/>
      <c r="L34" s="319" t="str">
        <f>IF(AND('Mapa final'!$J$52="Baja",'Mapa final'!$N$52="Leve"),CONCATENATE("R",'Mapa final'!$A$52),"")</f>
        <v/>
      </c>
      <c r="M34" s="319"/>
      <c r="N34" s="319" t="str">
        <f>IF(AND('Mapa final'!$J$58="Baja",'Mapa final'!$N$58="Leve"),CONCATENATE("R",'Mapa final'!$A$58),"")</f>
        <v/>
      </c>
      <c r="O34" s="320"/>
      <c r="P34" s="311" t="str">
        <f>IF(AND('Mapa final'!$J$46="Baja",'Mapa final'!$N$46="Menor"),CONCATENATE("R",'Mapa final'!$A$46),"")</f>
        <v/>
      </c>
      <c r="Q34" s="311"/>
      <c r="R34" s="311" t="str">
        <f>IF(AND('Mapa final'!$J$52="Baja",'Mapa final'!$N$52="Menor"),CONCATENATE("R",'Mapa final'!$A$52),"")</f>
        <v/>
      </c>
      <c r="S34" s="311"/>
      <c r="T34" s="311" t="str">
        <f>IF(AND('Mapa final'!$J$58="Baja",'Mapa final'!$N$58="Menor"),CONCATENATE("R",'Mapa final'!$A$58),"")</f>
        <v/>
      </c>
      <c r="U34" s="312"/>
      <c r="V34" s="310" t="str">
        <f>IF(AND('Mapa final'!$J$46="Baja",'Mapa final'!$N$46="Moderado"),CONCATENATE("R",'Mapa final'!$A$46),"")</f>
        <v/>
      </c>
      <c r="W34" s="311"/>
      <c r="X34" s="311" t="str">
        <f>IF(AND('Mapa final'!$J$52="Baja",'Mapa final'!$N$52="Moderado"),CONCATENATE("R",'Mapa final'!$A$52),"")</f>
        <v/>
      </c>
      <c r="Y34" s="311"/>
      <c r="Z34" s="311" t="str">
        <f>IF(AND('Mapa final'!$J$58="Baja",'Mapa final'!$N$58="Moderado"),CONCATENATE("R",'Mapa final'!$A$58),"")</f>
        <v/>
      </c>
      <c r="AA34" s="312"/>
      <c r="AB34" s="294" t="str">
        <f>IF(AND('Mapa final'!$J$46="Baja",'Mapa final'!$N$46="Mayor"),CONCATENATE("R",'Mapa final'!$A$46),"")</f>
        <v/>
      </c>
      <c r="AC34" s="290"/>
      <c r="AD34" s="290" t="str">
        <f>IF(AND('Mapa final'!$J$52="Baja",'Mapa final'!$N$52="Mayor"),CONCATENATE("R",'Mapa final'!$A$52),"")</f>
        <v/>
      </c>
      <c r="AE34" s="290"/>
      <c r="AF34" s="290" t="str">
        <f>IF(AND('Mapa final'!$J$58="Baja",'Mapa final'!$N$58="Mayor"),CONCATENATE("R",'Mapa final'!$A$58),"")</f>
        <v/>
      </c>
      <c r="AG34" s="291"/>
      <c r="AH34" s="301" t="str">
        <f>IF(AND('Mapa final'!$J$46="Baja",'Mapa final'!$N$46="Catastrófico"),CONCATENATE("R",'Mapa final'!$A$46),"")</f>
        <v/>
      </c>
      <c r="AI34" s="302"/>
      <c r="AJ34" s="302" t="str">
        <f>IF(AND('Mapa final'!$J$52="Baja",'Mapa final'!$N$52="Catastrófico"),CONCATENATE("R",'Mapa final'!$A$52),"")</f>
        <v/>
      </c>
      <c r="AK34" s="302"/>
      <c r="AL34" s="302" t="str">
        <f>IF(AND('Mapa final'!$J$58="Baja",'Mapa final'!$N$58="Catastrófico"),CONCATENATE("R",'Mapa final'!$A$58),"")</f>
        <v/>
      </c>
      <c r="AM34" s="303"/>
      <c r="AN34" s="83"/>
      <c r="AO34" s="275"/>
      <c r="AP34" s="276"/>
      <c r="AQ34" s="276"/>
      <c r="AR34" s="276"/>
      <c r="AS34" s="276"/>
      <c r="AT34" s="27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43"/>
      <c r="C35" s="243"/>
      <c r="D35" s="244"/>
      <c r="E35" s="284"/>
      <c r="F35" s="285"/>
      <c r="G35" s="285"/>
      <c r="H35" s="285"/>
      <c r="I35" s="285"/>
      <c r="J35" s="321"/>
      <c r="K35" s="319"/>
      <c r="L35" s="319"/>
      <c r="M35" s="319"/>
      <c r="N35" s="319"/>
      <c r="O35" s="320"/>
      <c r="P35" s="311"/>
      <c r="Q35" s="311"/>
      <c r="R35" s="311"/>
      <c r="S35" s="311"/>
      <c r="T35" s="311"/>
      <c r="U35" s="312"/>
      <c r="V35" s="310"/>
      <c r="W35" s="311"/>
      <c r="X35" s="311"/>
      <c r="Y35" s="311"/>
      <c r="Z35" s="311"/>
      <c r="AA35" s="312"/>
      <c r="AB35" s="294"/>
      <c r="AC35" s="290"/>
      <c r="AD35" s="290"/>
      <c r="AE35" s="290"/>
      <c r="AF35" s="290"/>
      <c r="AG35" s="291"/>
      <c r="AH35" s="301"/>
      <c r="AI35" s="302"/>
      <c r="AJ35" s="302"/>
      <c r="AK35" s="302"/>
      <c r="AL35" s="302"/>
      <c r="AM35" s="303"/>
      <c r="AN35" s="83"/>
      <c r="AO35" s="275"/>
      <c r="AP35" s="276"/>
      <c r="AQ35" s="276"/>
      <c r="AR35" s="276"/>
      <c r="AS35" s="276"/>
      <c r="AT35" s="27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43"/>
      <c r="C36" s="243"/>
      <c r="D36" s="244"/>
      <c r="E36" s="284"/>
      <c r="F36" s="285"/>
      <c r="G36" s="285"/>
      <c r="H36" s="285"/>
      <c r="I36" s="285"/>
      <c r="J36" s="321" t="str">
        <f>IF(AND('Mapa final'!$J$64="Baja",'Mapa final'!$N$64="Leve"),CONCATENATE("R",'Mapa final'!$A$64),"")</f>
        <v/>
      </c>
      <c r="K36" s="319"/>
      <c r="L36" s="319" t="str">
        <f>IF(AND('Mapa final'!$J$70="Baja",'Mapa final'!$N$70="Leve"),CONCATENATE("R",'Mapa final'!$A$70),"")</f>
        <v/>
      </c>
      <c r="M36" s="319"/>
      <c r="N36" s="319" t="str">
        <f>IF(AND('Mapa final'!$J$76="Baja",'Mapa final'!$N$76="Leve"),CONCATENATE("R",'Mapa final'!$A$76),"")</f>
        <v/>
      </c>
      <c r="O36" s="320"/>
      <c r="P36" s="311" t="str">
        <f>IF(AND('Mapa final'!$J$64="Baja",'Mapa final'!$N$64="Menor"),CONCATENATE("R",'Mapa final'!$A$64),"")</f>
        <v/>
      </c>
      <c r="Q36" s="311"/>
      <c r="R36" s="311" t="str">
        <f>IF(AND('Mapa final'!$J$70="Baja",'Mapa final'!$N$70="Menor"),CONCATENATE("R",'Mapa final'!$A$70),"")</f>
        <v/>
      </c>
      <c r="S36" s="311"/>
      <c r="T36" s="311" t="str">
        <f>IF(AND('Mapa final'!$J$76="Baja",'Mapa final'!$N$76="Menor"),CONCATENATE("R",'Mapa final'!$A$76),"")</f>
        <v/>
      </c>
      <c r="U36" s="312"/>
      <c r="V36" s="310" t="str">
        <f>IF(AND('Mapa final'!$J$64="Baja",'Mapa final'!$N$64="Moderado"),CONCATENATE("R",'Mapa final'!$A$64),"")</f>
        <v/>
      </c>
      <c r="W36" s="311"/>
      <c r="X36" s="311" t="str">
        <f>IF(AND('Mapa final'!$J$70="Baja",'Mapa final'!$N$70="Moderado"),CONCATENATE("R",'Mapa final'!$A$70),"")</f>
        <v/>
      </c>
      <c r="Y36" s="311"/>
      <c r="Z36" s="311" t="str">
        <f>IF(AND('Mapa final'!$J$76="Baja",'Mapa final'!$N$76="Moderado"),CONCATENATE("R",'Mapa final'!$A$76),"")</f>
        <v/>
      </c>
      <c r="AA36" s="312"/>
      <c r="AB36" s="294" t="str">
        <f>IF(AND('Mapa final'!$J$64="Baja",'Mapa final'!$N$64="Mayor"),CONCATENATE("R",'Mapa final'!$A$64),"")</f>
        <v/>
      </c>
      <c r="AC36" s="290"/>
      <c r="AD36" s="290" t="str">
        <f>IF(AND('Mapa final'!$J$70="Baja",'Mapa final'!$N$70="Mayor"),CONCATENATE("R",'Mapa final'!$A$70),"")</f>
        <v/>
      </c>
      <c r="AE36" s="290"/>
      <c r="AF36" s="290" t="str">
        <f>IF(AND('Mapa final'!$J$76="Baja",'Mapa final'!$N$76="Mayor"),CONCATENATE("R",'Mapa final'!$A$76),"")</f>
        <v/>
      </c>
      <c r="AG36" s="291"/>
      <c r="AH36" s="301" t="str">
        <f>IF(AND('Mapa final'!$J$64="Baja",'Mapa final'!$N$64="Catastrófico"),CONCATENATE("R",'Mapa final'!$A$64),"")</f>
        <v/>
      </c>
      <c r="AI36" s="302"/>
      <c r="AJ36" s="302" t="str">
        <f>IF(AND('Mapa final'!$J$70="Baja",'Mapa final'!$N$70="Catastrófico"),CONCATENATE("R",'Mapa final'!$A$70),"")</f>
        <v/>
      </c>
      <c r="AK36" s="302"/>
      <c r="AL36" s="302" t="str">
        <f>IF(AND('Mapa final'!$J$76="Baja",'Mapa final'!$N$76="Catastrófico"),CONCATENATE("R",'Mapa final'!$A$76),"")</f>
        <v/>
      </c>
      <c r="AM36" s="303"/>
      <c r="AN36" s="83"/>
      <c r="AO36" s="275"/>
      <c r="AP36" s="276"/>
      <c r="AQ36" s="276"/>
      <c r="AR36" s="276"/>
      <c r="AS36" s="276"/>
      <c r="AT36" s="27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43"/>
      <c r="C37" s="243"/>
      <c r="D37" s="244"/>
      <c r="E37" s="287"/>
      <c r="F37" s="288"/>
      <c r="G37" s="288"/>
      <c r="H37" s="288"/>
      <c r="I37" s="288"/>
      <c r="J37" s="322"/>
      <c r="K37" s="323"/>
      <c r="L37" s="323"/>
      <c r="M37" s="323"/>
      <c r="N37" s="323"/>
      <c r="O37" s="324"/>
      <c r="P37" s="314"/>
      <c r="Q37" s="314"/>
      <c r="R37" s="314"/>
      <c r="S37" s="314"/>
      <c r="T37" s="314"/>
      <c r="U37" s="315"/>
      <c r="V37" s="313"/>
      <c r="W37" s="314"/>
      <c r="X37" s="314"/>
      <c r="Y37" s="314"/>
      <c r="Z37" s="314"/>
      <c r="AA37" s="315"/>
      <c r="AB37" s="298"/>
      <c r="AC37" s="299"/>
      <c r="AD37" s="299"/>
      <c r="AE37" s="299"/>
      <c r="AF37" s="299"/>
      <c r="AG37" s="300"/>
      <c r="AH37" s="304"/>
      <c r="AI37" s="305"/>
      <c r="AJ37" s="305"/>
      <c r="AK37" s="305"/>
      <c r="AL37" s="305"/>
      <c r="AM37" s="306"/>
      <c r="AN37" s="83"/>
      <c r="AO37" s="278"/>
      <c r="AP37" s="279"/>
      <c r="AQ37" s="279"/>
      <c r="AR37" s="279"/>
      <c r="AS37" s="279"/>
      <c r="AT37" s="28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43"/>
      <c r="C38" s="243"/>
      <c r="D38" s="244"/>
      <c r="E38" s="281" t="s">
        <v>113</v>
      </c>
      <c r="F38" s="282"/>
      <c r="G38" s="282"/>
      <c r="H38" s="282"/>
      <c r="I38" s="283"/>
      <c r="J38" s="325" t="str">
        <f>IF(AND('Mapa final'!$J$10="Muy Baja",'Mapa final'!$N$10="Leve"),CONCATENATE("R",'Mapa final'!$A$10),"")</f>
        <v/>
      </c>
      <c r="K38" s="326"/>
      <c r="L38" s="326" t="str">
        <f>IF(AND('Mapa final'!$J$16="Muy Baja",'Mapa final'!$N$16="Leve"),CONCATENATE("R",'Mapa final'!$A$16),"")</f>
        <v/>
      </c>
      <c r="M38" s="326"/>
      <c r="N38" s="326" t="str">
        <f>IF(AND('Mapa final'!$J$22="Muy Baja",'Mapa final'!$N$22="Leve"),CONCATENATE("R",'Mapa final'!$A$22),"")</f>
        <v/>
      </c>
      <c r="O38" s="327"/>
      <c r="P38" s="325" t="str">
        <f>IF(AND('Mapa final'!$J$10="Muy Baja",'Mapa final'!$N$10="Menor"),CONCATENATE("R",'Mapa final'!$A$10),"")</f>
        <v/>
      </c>
      <c r="Q38" s="326"/>
      <c r="R38" s="326" t="str">
        <f>IF(AND('Mapa final'!$J$16="Muy Baja",'Mapa final'!$N$16="Menor"),CONCATENATE("R",'Mapa final'!$A$16),"")</f>
        <v/>
      </c>
      <c r="S38" s="326"/>
      <c r="T38" s="326" t="str">
        <f>IF(AND('Mapa final'!$J$22="Muy Baja",'Mapa final'!$N$22="Menor"),CONCATENATE("R",'Mapa final'!$A$22),"")</f>
        <v/>
      </c>
      <c r="U38" s="327"/>
      <c r="V38" s="316" t="str">
        <f>IF(AND('Mapa final'!$J$10="Muy Baja",'Mapa final'!$N$10="Moderado"),CONCATENATE("R",'Mapa final'!$A$10),"")</f>
        <v/>
      </c>
      <c r="W38" s="317"/>
      <c r="X38" s="317" t="str">
        <f>IF(AND('Mapa final'!$J$16="Muy Baja",'Mapa final'!$N$16="Moderado"),CONCATENATE("R",'Mapa final'!$A$16),"")</f>
        <v/>
      </c>
      <c r="Y38" s="317"/>
      <c r="Z38" s="317" t="str">
        <f>IF(AND('Mapa final'!$J$22="Muy Baja",'Mapa final'!$N$22="Moderado"),CONCATENATE("R",'Mapa final'!$A$22),"")</f>
        <v/>
      </c>
      <c r="AA38" s="318"/>
      <c r="AB38" s="292" t="str">
        <f>IF(AND('Mapa final'!$J$10="Muy Baja",'Mapa final'!$N$10="Mayor"),CONCATENATE("R",'Mapa final'!$A$10),"")</f>
        <v/>
      </c>
      <c r="AC38" s="293"/>
      <c r="AD38" s="293" t="str">
        <f>IF(AND('Mapa final'!$J$16="Muy Baja",'Mapa final'!$N$16="Mayor"),CONCATENATE("R",'Mapa final'!$A$16),"")</f>
        <v/>
      </c>
      <c r="AE38" s="293"/>
      <c r="AF38" s="293" t="str">
        <f>IF(AND('Mapa final'!$J$22="Muy Baja",'Mapa final'!$N$22="Mayor"),CONCATENATE("R",'Mapa final'!$A$22),"")</f>
        <v/>
      </c>
      <c r="AG38" s="295"/>
      <c r="AH38" s="307" t="str">
        <f>IF(AND('Mapa final'!$J$10="Muy Baja",'Mapa final'!$N$10="Catastrófico"),CONCATENATE("R",'Mapa final'!$A$10),"")</f>
        <v/>
      </c>
      <c r="AI38" s="308"/>
      <c r="AJ38" s="308" t="str">
        <f>IF(AND('Mapa final'!$J$16="Muy Baja",'Mapa final'!$N$16="Catastrófico"),CONCATENATE("R",'Mapa final'!$A$16),"")</f>
        <v/>
      </c>
      <c r="AK38" s="308"/>
      <c r="AL38" s="308" t="str">
        <f>IF(AND('Mapa final'!$J$22="Muy Baja",'Mapa final'!$N$22="Catastrófico"),CONCATENATE("R",'Mapa final'!$A$22),"")</f>
        <v/>
      </c>
      <c r="AM38" s="309"/>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43"/>
      <c r="C39" s="243"/>
      <c r="D39" s="244"/>
      <c r="E39" s="284"/>
      <c r="F39" s="285"/>
      <c r="G39" s="285"/>
      <c r="H39" s="285"/>
      <c r="I39" s="286"/>
      <c r="J39" s="321"/>
      <c r="K39" s="319"/>
      <c r="L39" s="319"/>
      <c r="M39" s="319"/>
      <c r="N39" s="319"/>
      <c r="O39" s="320"/>
      <c r="P39" s="321"/>
      <c r="Q39" s="319"/>
      <c r="R39" s="319"/>
      <c r="S39" s="319"/>
      <c r="T39" s="319"/>
      <c r="U39" s="320"/>
      <c r="V39" s="310"/>
      <c r="W39" s="311"/>
      <c r="X39" s="311"/>
      <c r="Y39" s="311"/>
      <c r="Z39" s="311"/>
      <c r="AA39" s="312"/>
      <c r="AB39" s="294"/>
      <c r="AC39" s="290"/>
      <c r="AD39" s="290"/>
      <c r="AE39" s="290"/>
      <c r="AF39" s="290"/>
      <c r="AG39" s="291"/>
      <c r="AH39" s="301"/>
      <c r="AI39" s="302"/>
      <c r="AJ39" s="302"/>
      <c r="AK39" s="302"/>
      <c r="AL39" s="302"/>
      <c r="AM39" s="30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43"/>
      <c r="C40" s="243"/>
      <c r="D40" s="244"/>
      <c r="E40" s="284"/>
      <c r="F40" s="285"/>
      <c r="G40" s="285"/>
      <c r="H40" s="285"/>
      <c r="I40" s="286"/>
      <c r="J40" s="321" t="str">
        <f>IF(AND('Mapa final'!$J$28="Muy Baja",'Mapa final'!$N$28="Leve"),CONCATENATE("R",'Mapa final'!$A$28),"")</f>
        <v/>
      </c>
      <c r="K40" s="319"/>
      <c r="L40" s="319" t="str">
        <f>IF(AND('Mapa final'!$J$34="Muy Baja",'Mapa final'!$N$34="Leve"),CONCATENATE("R",'Mapa final'!$A$34),"")</f>
        <v/>
      </c>
      <c r="M40" s="319"/>
      <c r="N40" s="319" t="str">
        <f>IF(AND('Mapa final'!$J$40="Muy Baja",'Mapa final'!$N$40="Leve"),CONCATENATE("R",'Mapa final'!$A$40),"")</f>
        <v/>
      </c>
      <c r="O40" s="320"/>
      <c r="P40" s="321" t="str">
        <f>IF(AND('Mapa final'!$J$28="Muy Baja",'Mapa final'!$N$28="Menor"),CONCATENATE("R",'Mapa final'!$A$28),"")</f>
        <v/>
      </c>
      <c r="Q40" s="319"/>
      <c r="R40" s="319" t="str">
        <f>IF(AND('Mapa final'!$J$34="Muy Baja",'Mapa final'!$N$34="Menor"),CONCATENATE("R",'Mapa final'!$A$34),"")</f>
        <v/>
      </c>
      <c r="S40" s="319"/>
      <c r="T40" s="319" t="str">
        <f>IF(AND('Mapa final'!$J$40="Muy Baja",'Mapa final'!$N$40="Menor"),CONCATENATE("R",'Mapa final'!$A$40),"")</f>
        <v/>
      </c>
      <c r="U40" s="320"/>
      <c r="V40" s="310" t="str">
        <f>IF(AND('Mapa final'!$J$28="Muy Baja",'Mapa final'!$N$28="Moderado"),CONCATENATE("R",'Mapa final'!$A$28),"")</f>
        <v/>
      </c>
      <c r="W40" s="311"/>
      <c r="X40" s="311" t="str">
        <f>IF(AND('Mapa final'!$J$34="Muy Baja",'Mapa final'!$N$34="Moderado"),CONCATENATE("R",'Mapa final'!$A$34),"")</f>
        <v/>
      </c>
      <c r="Y40" s="311"/>
      <c r="Z40" s="311" t="str">
        <f>IF(AND('Mapa final'!$J$40="Muy Baja",'Mapa final'!$N$40="Moderado"),CONCATENATE("R",'Mapa final'!$A$40),"")</f>
        <v/>
      </c>
      <c r="AA40" s="312"/>
      <c r="AB40" s="294" t="str">
        <f>IF(AND('Mapa final'!$J$28="Muy Baja",'Mapa final'!$N$28="Mayor"),CONCATENATE("R",'Mapa final'!$A$28),"")</f>
        <v/>
      </c>
      <c r="AC40" s="290"/>
      <c r="AD40" s="290" t="str">
        <f>IF(AND('Mapa final'!$J$34="Muy Baja",'Mapa final'!$N$34="Mayor"),CONCATENATE("R",'Mapa final'!$A$34),"")</f>
        <v/>
      </c>
      <c r="AE40" s="290"/>
      <c r="AF40" s="290" t="str">
        <f>IF(AND('Mapa final'!$J$40="Muy Baja",'Mapa final'!$N$40="Mayor"),CONCATENATE("R",'Mapa final'!$A$40),"")</f>
        <v/>
      </c>
      <c r="AG40" s="291"/>
      <c r="AH40" s="301" t="str">
        <f>IF(AND('Mapa final'!$J$28="Muy Baja",'Mapa final'!$N$28="Catastrófico"),CONCATENATE("R",'Mapa final'!$A$28),"")</f>
        <v/>
      </c>
      <c r="AI40" s="302"/>
      <c r="AJ40" s="302" t="str">
        <f>IF(AND('Mapa final'!$J$34="Muy Baja",'Mapa final'!$N$34="Catastrófico"),CONCATENATE("R",'Mapa final'!$A$34),"")</f>
        <v/>
      </c>
      <c r="AK40" s="302"/>
      <c r="AL40" s="302" t="str">
        <f>IF(AND('Mapa final'!$J$40="Muy Baja",'Mapa final'!$N$40="Catastrófico"),CONCATENATE("R",'Mapa final'!$A$40),"")</f>
        <v/>
      </c>
      <c r="AM40" s="30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43"/>
      <c r="C41" s="243"/>
      <c r="D41" s="244"/>
      <c r="E41" s="284"/>
      <c r="F41" s="285"/>
      <c r="G41" s="285"/>
      <c r="H41" s="285"/>
      <c r="I41" s="286"/>
      <c r="J41" s="321"/>
      <c r="K41" s="319"/>
      <c r="L41" s="319"/>
      <c r="M41" s="319"/>
      <c r="N41" s="319"/>
      <c r="O41" s="320"/>
      <c r="P41" s="321"/>
      <c r="Q41" s="319"/>
      <c r="R41" s="319"/>
      <c r="S41" s="319"/>
      <c r="T41" s="319"/>
      <c r="U41" s="320"/>
      <c r="V41" s="310"/>
      <c r="W41" s="311"/>
      <c r="X41" s="311"/>
      <c r="Y41" s="311"/>
      <c r="Z41" s="311"/>
      <c r="AA41" s="312"/>
      <c r="AB41" s="294"/>
      <c r="AC41" s="290"/>
      <c r="AD41" s="290"/>
      <c r="AE41" s="290"/>
      <c r="AF41" s="290"/>
      <c r="AG41" s="291"/>
      <c r="AH41" s="301"/>
      <c r="AI41" s="302"/>
      <c r="AJ41" s="302"/>
      <c r="AK41" s="302"/>
      <c r="AL41" s="302"/>
      <c r="AM41" s="30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43"/>
      <c r="C42" s="243"/>
      <c r="D42" s="244"/>
      <c r="E42" s="284"/>
      <c r="F42" s="285"/>
      <c r="G42" s="285"/>
      <c r="H42" s="285"/>
      <c r="I42" s="286"/>
      <c r="J42" s="321" t="str">
        <f>IF(AND('Mapa final'!$J$46="Muy Baja",'Mapa final'!$N$46="Leve"),CONCATENATE("R",'Mapa final'!$A$46),"")</f>
        <v/>
      </c>
      <c r="K42" s="319"/>
      <c r="L42" s="319" t="str">
        <f>IF(AND('Mapa final'!$J$52="Muy Baja",'Mapa final'!$N$52="Leve"),CONCATENATE("R",'Mapa final'!$A$52),"")</f>
        <v/>
      </c>
      <c r="M42" s="319"/>
      <c r="N42" s="319" t="str">
        <f>IF(AND('Mapa final'!$J$58="Muy Baja",'Mapa final'!$N$58="Leve"),CONCATENATE("R",'Mapa final'!$A$58),"")</f>
        <v/>
      </c>
      <c r="O42" s="320"/>
      <c r="P42" s="321" t="str">
        <f>IF(AND('Mapa final'!$J$46="Muy Baja",'Mapa final'!$N$46="Menor"),CONCATENATE("R",'Mapa final'!$A$46),"")</f>
        <v/>
      </c>
      <c r="Q42" s="319"/>
      <c r="R42" s="319" t="str">
        <f>IF(AND('Mapa final'!$J$52="Muy Baja",'Mapa final'!$N$52="Menor"),CONCATENATE("R",'Mapa final'!$A$52),"")</f>
        <v/>
      </c>
      <c r="S42" s="319"/>
      <c r="T42" s="319" t="str">
        <f>IF(AND('Mapa final'!$J$58="Muy Baja",'Mapa final'!$N$58="Menor"),CONCATENATE("R",'Mapa final'!$A$58),"")</f>
        <v/>
      </c>
      <c r="U42" s="320"/>
      <c r="V42" s="310" t="str">
        <f>IF(AND('Mapa final'!$J$46="Muy Baja",'Mapa final'!$N$46="Moderado"),CONCATENATE("R",'Mapa final'!$A$46),"")</f>
        <v/>
      </c>
      <c r="W42" s="311"/>
      <c r="X42" s="311" t="str">
        <f>IF(AND('Mapa final'!$J$52="Muy Baja",'Mapa final'!$N$52="Moderado"),CONCATENATE("R",'Mapa final'!$A$52),"")</f>
        <v/>
      </c>
      <c r="Y42" s="311"/>
      <c r="Z42" s="311" t="str">
        <f>IF(AND('Mapa final'!$J$58="Muy Baja",'Mapa final'!$N$58="Moderado"),CONCATENATE("R",'Mapa final'!$A$58),"")</f>
        <v/>
      </c>
      <c r="AA42" s="312"/>
      <c r="AB42" s="294" t="str">
        <f>IF(AND('Mapa final'!$J$46="Muy Baja",'Mapa final'!$N$46="Mayor"),CONCATENATE("R",'Mapa final'!$A$46),"")</f>
        <v/>
      </c>
      <c r="AC42" s="290"/>
      <c r="AD42" s="290" t="str">
        <f>IF(AND('Mapa final'!$J$52="Muy Baja",'Mapa final'!$N$52="Mayor"),CONCATENATE("R",'Mapa final'!$A$52),"")</f>
        <v/>
      </c>
      <c r="AE42" s="290"/>
      <c r="AF42" s="290" t="str">
        <f>IF(AND('Mapa final'!$J$58="Muy Baja",'Mapa final'!$N$58="Mayor"),CONCATENATE("R",'Mapa final'!$A$58),"")</f>
        <v/>
      </c>
      <c r="AG42" s="291"/>
      <c r="AH42" s="301" t="str">
        <f>IF(AND('Mapa final'!$J$46="Muy Baja",'Mapa final'!$N$46="Catastrófico"),CONCATENATE("R",'Mapa final'!$A$46),"")</f>
        <v/>
      </c>
      <c r="AI42" s="302"/>
      <c r="AJ42" s="302" t="str">
        <f>IF(AND('Mapa final'!$J$52="Muy Baja",'Mapa final'!$N$52="Catastrófico"),CONCATENATE("R",'Mapa final'!$A$52),"")</f>
        <v/>
      </c>
      <c r="AK42" s="302"/>
      <c r="AL42" s="302" t="str">
        <f>IF(AND('Mapa final'!$J$58="Muy Baja",'Mapa final'!$N$58="Catastrófico"),CONCATENATE("R",'Mapa final'!$A$58),"")</f>
        <v/>
      </c>
      <c r="AM42" s="30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43"/>
      <c r="C43" s="243"/>
      <c r="D43" s="244"/>
      <c r="E43" s="284"/>
      <c r="F43" s="285"/>
      <c r="G43" s="285"/>
      <c r="H43" s="285"/>
      <c r="I43" s="286"/>
      <c r="J43" s="321"/>
      <c r="K43" s="319"/>
      <c r="L43" s="319"/>
      <c r="M43" s="319"/>
      <c r="N43" s="319"/>
      <c r="O43" s="320"/>
      <c r="P43" s="321"/>
      <c r="Q43" s="319"/>
      <c r="R43" s="319"/>
      <c r="S43" s="319"/>
      <c r="T43" s="319"/>
      <c r="U43" s="320"/>
      <c r="V43" s="310"/>
      <c r="W43" s="311"/>
      <c r="X43" s="311"/>
      <c r="Y43" s="311"/>
      <c r="Z43" s="311"/>
      <c r="AA43" s="312"/>
      <c r="AB43" s="294"/>
      <c r="AC43" s="290"/>
      <c r="AD43" s="290"/>
      <c r="AE43" s="290"/>
      <c r="AF43" s="290"/>
      <c r="AG43" s="291"/>
      <c r="AH43" s="301"/>
      <c r="AI43" s="302"/>
      <c r="AJ43" s="302"/>
      <c r="AK43" s="302"/>
      <c r="AL43" s="302"/>
      <c r="AM43" s="30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43"/>
      <c r="C44" s="243"/>
      <c r="D44" s="244"/>
      <c r="E44" s="284"/>
      <c r="F44" s="285"/>
      <c r="G44" s="285"/>
      <c r="H44" s="285"/>
      <c r="I44" s="286"/>
      <c r="J44" s="321" t="str">
        <f>IF(AND('Mapa final'!$J$64="Muy Baja",'Mapa final'!$N$64="Leve"),CONCATENATE("R",'Mapa final'!$A$64),"")</f>
        <v/>
      </c>
      <c r="K44" s="319"/>
      <c r="L44" s="319" t="str">
        <f>IF(AND('Mapa final'!$J$70="Muy Baja",'Mapa final'!$N$70="Leve"),CONCATENATE("R",'Mapa final'!$A$70),"")</f>
        <v/>
      </c>
      <c r="M44" s="319"/>
      <c r="N44" s="319" t="str">
        <f>IF(AND('Mapa final'!$J$76="Muy Baja",'Mapa final'!$N$76="Leve"),CONCATENATE("R",'Mapa final'!$A$76),"")</f>
        <v/>
      </c>
      <c r="O44" s="320"/>
      <c r="P44" s="321" t="str">
        <f>IF(AND('Mapa final'!$J$64="Muy Baja",'Mapa final'!$N$64="Menor"),CONCATENATE("R",'Mapa final'!$A$64),"")</f>
        <v/>
      </c>
      <c r="Q44" s="319"/>
      <c r="R44" s="319" t="str">
        <f>IF(AND('Mapa final'!$J$70="Muy Baja",'Mapa final'!$N$70="Menor"),CONCATENATE("R",'Mapa final'!$A$70),"")</f>
        <v/>
      </c>
      <c r="S44" s="319"/>
      <c r="T44" s="319" t="str">
        <f>IF(AND('Mapa final'!$J$76="Muy Baja",'Mapa final'!$N$76="Menor"),CONCATENATE("R",'Mapa final'!$A$76),"")</f>
        <v/>
      </c>
      <c r="U44" s="320"/>
      <c r="V44" s="310" t="str">
        <f>IF(AND('Mapa final'!$J$64="Muy Baja",'Mapa final'!$N$64="Moderado"),CONCATENATE("R",'Mapa final'!$A$64),"")</f>
        <v/>
      </c>
      <c r="W44" s="311"/>
      <c r="X44" s="311" t="str">
        <f>IF(AND('Mapa final'!$J$70="Muy Baja",'Mapa final'!$N$70="Moderado"),CONCATENATE("R",'Mapa final'!$A$70),"")</f>
        <v/>
      </c>
      <c r="Y44" s="311"/>
      <c r="Z44" s="311" t="str">
        <f>IF(AND('Mapa final'!$J$76="Muy Baja",'Mapa final'!$N$76="Moderado"),CONCATENATE("R",'Mapa final'!$A$76),"")</f>
        <v/>
      </c>
      <c r="AA44" s="312"/>
      <c r="AB44" s="294" t="str">
        <f>IF(AND('Mapa final'!$J$64="Muy Baja",'Mapa final'!$N$64="Mayor"),CONCATENATE("R",'Mapa final'!$A$64),"")</f>
        <v/>
      </c>
      <c r="AC44" s="290"/>
      <c r="AD44" s="290" t="str">
        <f>IF(AND('Mapa final'!$J$70="Muy Baja",'Mapa final'!$N$70="Mayor"),CONCATENATE("R",'Mapa final'!$A$70),"")</f>
        <v/>
      </c>
      <c r="AE44" s="290"/>
      <c r="AF44" s="290" t="str">
        <f>IF(AND('Mapa final'!$J$76="Muy Baja",'Mapa final'!$N$76="Mayor"),CONCATENATE("R",'Mapa final'!$A$76),"")</f>
        <v/>
      </c>
      <c r="AG44" s="291"/>
      <c r="AH44" s="301" t="str">
        <f>IF(AND('Mapa final'!$J$64="Muy Baja",'Mapa final'!$N$64="Catastrófico"),CONCATENATE("R",'Mapa final'!$A$64),"")</f>
        <v/>
      </c>
      <c r="AI44" s="302"/>
      <c r="AJ44" s="302" t="str">
        <f>IF(AND('Mapa final'!$J$70="Muy Baja",'Mapa final'!$N$70="Catastrófico"),CONCATENATE("R",'Mapa final'!$A$70),"")</f>
        <v/>
      </c>
      <c r="AK44" s="302"/>
      <c r="AL44" s="302" t="str">
        <f>IF(AND('Mapa final'!$J$76="Muy Baja",'Mapa final'!$N$76="Catastrófico"),CONCATENATE("R",'Mapa final'!$A$76),"")</f>
        <v/>
      </c>
      <c r="AM44" s="30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43"/>
      <c r="C45" s="243"/>
      <c r="D45" s="244"/>
      <c r="E45" s="287"/>
      <c r="F45" s="288"/>
      <c r="G45" s="288"/>
      <c r="H45" s="288"/>
      <c r="I45" s="289"/>
      <c r="J45" s="322"/>
      <c r="K45" s="323"/>
      <c r="L45" s="323"/>
      <c r="M45" s="323"/>
      <c r="N45" s="323"/>
      <c r="O45" s="324"/>
      <c r="P45" s="322"/>
      <c r="Q45" s="323"/>
      <c r="R45" s="323"/>
      <c r="S45" s="323"/>
      <c r="T45" s="323"/>
      <c r="U45" s="324"/>
      <c r="V45" s="313"/>
      <c r="W45" s="314"/>
      <c r="X45" s="314"/>
      <c r="Y45" s="314"/>
      <c r="Z45" s="314"/>
      <c r="AA45" s="315"/>
      <c r="AB45" s="298"/>
      <c r="AC45" s="299"/>
      <c r="AD45" s="299"/>
      <c r="AE45" s="299"/>
      <c r="AF45" s="299"/>
      <c r="AG45" s="300"/>
      <c r="AH45" s="304"/>
      <c r="AI45" s="305"/>
      <c r="AJ45" s="305"/>
      <c r="AK45" s="305"/>
      <c r="AL45" s="305"/>
      <c r="AM45" s="306"/>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1" t="s">
        <v>112</v>
      </c>
      <c r="K46" s="282"/>
      <c r="L46" s="282"/>
      <c r="M46" s="282"/>
      <c r="N46" s="282"/>
      <c r="O46" s="283"/>
      <c r="P46" s="281" t="s">
        <v>111</v>
      </c>
      <c r="Q46" s="282"/>
      <c r="R46" s="282"/>
      <c r="S46" s="282"/>
      <c r="T46" s="282"/>
      <c r="U46" s="283"/>
      <c r="V46" s="281" t="s">
        <v>110</v>
      </c>
      <c r="W46" s="282"/>
      <c r="X46" s="282"/>
      <c r="Y46" s="282"/>
      <c r="Z46" s="282"/>
      <c r="AA46" s="283"/>
      <c r="AB46" s="281" t="s">
        <v>109</v>
      </c>
      <c r="AC46" s="297"/>
      <c r="AD46" s="282"/>
      <c r="AE46" s="282"/>
      <c r="AF46" s="282"/>
      <c r="AG46" s="283"/>
      <c r="AH46" s="281" t="s">
        <v>108</v>
      </c>
      <c r="AI46" s="282"/>
      <c r="AJ46" s="282"/>
      <c r="AK46" s="282"/>
      <c r="AL46" s="282"/>
      <c r="AM46" s="2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4"/>
      <c r="K47" s="285"/>
      <c r="L47" s="285"/>
      <c r="M47" s="285"/>
      <c r="N47" s="285"/>
      <c r="O47" s="286"/>
      <c r="P47" s="284"/>
      <c r="Q47" s="285"/>
      <c r="R47" s="285"/>
      <c r="S47" s="285"/>
      <c r="T47" s="285"/>
      <c r="U47" s="286"/>
      <c r="V47" s="284"/>
      <c r="W47" s="285"/>
      <c r="X47" s="285"/>
      <c r="Y47" s="285"/>
      <c r="Z47" s="285"/>
      <c r="AA47" s="286"/>
      <c r="AB47" s="284"/>
      <c r="AC47" s="285"/>
      <c r="AD47" s="285"/>
      <c r="AE47" s="285"/>
      <c r="AF47" s="285"/>
      <c r="AG47" s="286"/>
      <c r="AH47" s="284"/>
      <c r="AI47" s="285"/>
      <c r="AJ47" s="285"/>
      <c r="AK47" s="285"/>
      <c r="AL47" s="285"/>
      <c r="AM47" s="286"/>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4"/>
      <c r="K48" s="285"/>
      <c r="L48" s="285"/>
      <c r="M48" s="285"/>
      <c r="N48" s="285"/>
      <c r="O48" s="286"/>
      <c r="P48" s="284"/>
      <c r="Q48" s="285"/>
      <c r="R48" s="285"/>
      <c r="S48" s="285"/>
      <c r="T48" s="285"/>
      <c r="U48" s="286"/>
      <c r="V48" s="284"/>
      <c r="W48" s="285"/>
      <c r="X48" s="285"/>
      <c r="Y48" s="285"/>
      <c r="Z48" s="285"/>
      <c r="AA48" s="286"/>
      <c r="AB48" s="284"/>
      <c r="AC48" s="285"/>
      <c r="AD48" s="285"/>
      <c r="AE48" s="285"/>
      <c r="AF48" s="285"/>
      <c r="AG48" s="286"/>
      <c r="AH48" s="284"/>
      <c r="AI48" s="285"/>
      <c r="AJ48" s="285"/>
      <c r="AK48" s="285"/>
      <c r="AL48" s="285"/>
      <c r="AM48" s="286"/>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4"/>
      <c r="K49" s="285"/>
      <c r="L49" s="285"/>
      <c r="M49" s="285"/>
      <c r="N49" s="285"/>
      <c r="O49" s="286"/>
      <c r="P49" s="284"/>
      <c r="Q49" s="285"/>
      <c r="R49" s="285"/>
      <c r="S49" s="285"/>
      <c r="T49" s="285"/>
      <c r="U49" s="286"/>
      <c r="V49" s="284"/>
      <c r="W49" s="285"/>
      <c r="X49" s="285"/>
      <c r="Y49" s="285"/>
      <c r="Z49" s="285"/>
      <c r="AA49" s="286"/>
      <c r="AB49" s="284"/>
      <c r="AC49" s="285"/>
      <c r="AD49" s="285"/>
      <c r="AE49" s="285"/>
      <c r="AF49" s="285"/>
      <c r="AG49" s="286"/>
      <c r="AH49" s="284"/>
      <c r="AI49" s="285"/>
      <c r="AJ49" s="285"/>
      <c r="AK49" s="285"/>
      <c r="AL49" s="285"/>
      <c r="AM49" s="286"/>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4"/>
      <c r="K50" s="285"/>
      <c r="L50" s="285"/>
      <c r="M50" s="285"/>
      <c r="N50" s="285"/>
      <c r="O50" s="286"/>
      <c r="P50" s="284"/>
      <c r="Q50" s="285"/>
      <c r="R50" s="285"/>
      <c r="S50" s="285"/>
      <c r="T50" s="285"/>
      <c r="U50" s="286"/>
      <c r="V50" s="284"/>
      <c r="W50" s="285"/>
      <c r="X50" s="285"/>
      <c r="Y50" s="285"/>
      <c r="Z50" s="285"/>
      <c r="AA50" s="286"/>
      <c r="AB50" s="284"/>
      <c r="AC50" s="285"/>
      <c r="AD50" s="285"/>
      <c r="AE50" s="285"/>
      <c r="AF50" s="285"/>
      <c r="AG50" s="286"/>
      <c r="AH50" s="284"/>
      <c r="AI50" s="285"/>
      <c r="AJ50" s="285"/>
      <c r="AK50" s="285"/>
      <c r="AL50" s="285"/>
      <c r="AM50" s="286"/>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7"/>
      <c r="K51" s="288"/>
      <c r="L51" s="288"/>
      <c r="M51" s="288"/>
      <c r="N51" s="288"/>
      <c r="O51" s="289"/>
      <c r="P51" s="287"/>
      <c r="Q51" s="288"/>
      <c r="R51" s="288"/>
      <c r="S51" s="288"/>
      <c r="T51" s="288"/>
      <c r="U51" s="289"/>
      <c r="V51" s="287"/>
      <c r="W51" s="288"/>
      <c r="X51" s="288"/>
      <c r="Y51" s="288"/>
      <c r="Z51" s="288"/>
      <c r="AA51" s="289"/>
      <c r="AB51" s="287"/>
      <c r="AC51" s="288"/>
      <c r="AD51" s="288"/>
      <c r="AE51" s="288"/>
      <c r="AF51" s="288"/>
      <c r="AG51" s="289"/>
      <c r="AH51" s="287"/>
      <c r="AI51" s="288"/>
      <c r="AJ51" s="288"/>
      <c r="AK51" s="288"/>
      <c r="AL51" s="288"/>
      <c r="AM51" s="289"/>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4" t="s">
        <v>160</v>
      </c>
      <c r="C2" s="355"/>
      <c r="D2" s="355"/>
      <c r="E2" s="355"/>
      <c r="F2" s="355"/>
      <c r="G2" s="355"/>
      <c r="H2" s="355"/>
      <c r="I2" s="355"/>
      <c r="J2" s="296" t="s">
        <v>2</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5"/>
      <c r="C3" s="355"/>
      <c r="D3" s="355"/>
      <c r="E3" s="355"/>
      <c r="F3" s="355"/>
      <c r="G3" s="355"/>
      <c r="H3" s="355"/>
      <c r="I3" s="355"/>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5"/>
      <c r="C4" s="355"/>
      <c r="D4" s="355"/>
      <c r="E4" s="355"/>
      <c r="F4" s="355"/>
      <c r="G4" s="355"/>
      <c r="H4" s="355"/>
      <c r="I4" s="355"/>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43" t="s">
        <v>4</v>
      </c>
      <c r="C6" s="243"/>
      <c r="D6" s="244"/>
      <c r="E6" s="338" t="s">
        <v>116</v>
      </c>
      <c r="F6" s="339"/>
      <c r="G6" s="339"/>
      <c r="H6" s="339"/>
      <c r="I6" s="356"/>
      <c r="J6" s="46" t="str">
        <f>IF(AND('Mapa final'!$AA$10="Muy Alta",'Mapa final'!$AC$10="Leve"),CONCATENATE("R1C",'Mapa final'!$Q$10),"")</f>
        <v/>
      </c>
      <c r="K6" s="47" t="str">
        <f>IF(AND('Mapa final'!$AA$11="Muy Alta",'Mapa final'!$AC$11="Leve"),CONCATENATE("R1C",'Mapa final'!$Q$11),"")</f>
        <v/>
      </c>
      <c r="L6" s="47" t="str">
        <f>IF(AND('Mapa final'!$AA$12="Muy Alta",'Mapa final'!$AC$12="Leve"),CONCATENATE("R1C",'Mapa final'!$Q$12),"")</f>
        <v/>
      </c>
      <c r="M6" s="47" t="str">
        <f>IF(AND('Mapa final'!$AA$13="Muy Alta",'Mapa final'!$AC$13="Leve"),CONCATENATE("R1C",'Mapa final'!$Q$13),"")</f>
        <v/>
      </c>
      <c r="N6" s="47" t="str">
        <f>IF(AND('Mapa final'!$AA$14="Muy Alta",'Mapa final'!$AC$14="Leve"),CONCATENATE("R1C",'Mapa final'!$Q$14),"")</f>
        <v/>
      </c>
      <c r="O6" s="48" t="str">
        <f>IF(AND('Mapa final'!$AA$15="Muy Alta",'Mapa final'!$AC$15="Leve"),CONCATENATE("R1C",'Mapa final'!$Q$15),"")</f>
        <v/>
      </c>
      <c r="P6" s="46" t="str">
        <f>IF(AND('Mapa final'!$AA$10="Muy Alta",'Mapa final'!$AC$10="Menor"),CONCATENATE("R1C",'Mapa final'!$Q$10),"")</f>
        <v/>
      </c>
      <c r="Q6" s="47" t="str">
        <f>IF(AND('Mapa final'!$AA$11="Muy Alta",'Mapa final'!$AC$11="Menor"),CONCATENATE("R1C",'Mapa final'!$Q$11),"")</f>
        <v/>
      </c>
      <c r="R6" s="47" t="str">
        <f>IF(AND('Mapa final'!$AA$12="Muy Alta",'Mapa final'!$AC$12="Menor"),CONCATENATE("R1C",'Mapa final'!$Q$12),"")</f>
        <v/>
      </c>
      <c r="S6" s="47" t="str">
        <f>IF(AND('Mapa final'!$AA$13="Muy Alta",'Mapa final'!$AC$13="Menor"),CONCATENATE("R1C",'Mapa final'!$Q$13),"")</f>
        <v/>
      </c>
      <c r="T6" s="47" t="str">
        <f>IF(AND('Mapa final'!$AA$14="Muy Alta",'Mapa final'!$AC$14="Menor"),CONCATENATE("R1C",'Mapa final'!$Q$14),"")</f>
        <v/>
      </c>
      <c r="U6" s="48" t="str">
        <f>IF(AND('Mapa final'!$AA$15="Muy Alta",'Mapa final'!$AC$15="Menor"),CONCATENATE("R1C",'Mapa final'!$Q$15),"")</f>
        <v/>
      </c>
      <c r="V6" s="46" t="str">
        <f>IF(AND('Mapa final'!$AA$10="Muy Alta",'Mapa final'!$AC$10="Moderado"),CONCATENATE("R1C",'Mapa final'!$Q$10),"")</f>
        <v/>
      </c>
      <c r="W6" s="47" t="str">
        <f>IF(AND('Mapa final'!$AA$11="Muy Alta",'Mapa final'!$AC$11="Moderado"),CONCATENATE("R1C",'Mapa final'!$Q$11),"")</f>
        <v/>
      </c>
      <c r="X6" s="47" t="str">
        <f>IF(AND('Mapa final'!$AA$12="Muy Alta",'Mapa final'!$AC$12="Moderado"),CONCATENATE("R1C",'Mapa final'!$Q$12),"")</f>
        <v/>
      </c>
      <c r="Y6" s="47" t="str">
        <f>IF(AND('Mapa final'!$AA$13="Muy Alta",'Mapa final'!$AC$13="Moderado"),CONCATENATE("R1C",'Mapa final'!$Q$13),"")</f>
        <v/>
      </c>
      <c r="Z6" s="47" t="str">
        <f>IF(AND('Mapa final'!$AA$14="Muy Alta",'Mapa final'!$AC$14="Moderado"),CONCATENATE("R1C",'Mapa final'!$Q$14),"")</f>
        <v/>
      </c>
      <c r="AA6" s="48" t="str">
        <f>IF(AND('Mapa final'!$AA$15="Muy Alta",'Mapa final'!$AC$15="Moderado"),CONCATENATE("R1C",'Mapa final'!$Q$15),"")</f>
        <v/>
      </c>
      <c r="AB6" s="46" t="str">
        <f>IF(AND('Mapa final'!$AA$10="Muy Alta",'Mapa final'!$AC$10="Mayor"),CONCATENATE("R1C",'Mapa final'!$Q$10),"")</f>
        <v/>
      </c>
      <c r="AC6" s="47" t="str">
        <f>IF(AND('Mapa final'!$AA$11="Muy Alta",'Mapa final'!$AC$11="Mayor"),CONCATENATE("R1C",'Mapa final'!$Q$11),"")</f>
        <v/>
      </c>
      <c r="AD6" s="47" t="str">
        <f>IF(AND('Mapa final'!$AA$12="Muy Alta",'Mapa final'!$AC$12="Mayor"),CONCATENATE("R1C",'Mapa final'!$Q$12),"")</f>
        <v/>
      </c>
      <c r="AE6" s="47" t="str">
        <f>IF(AND('Mapa final'!$AA$13="Muy Alta",'Mapa final'!$AC$13="Mayor"),CONCATENATE("R1C",'Mapa final'!$Q$13),"")</f>
        <v/>
      </c>
      <c r="AF6" s="47" t="str">
        <f>IF(AND('Mapa final'!$AA$14="Muy Alta",'Mapa final'!$AC$14="Mayor"),CONCATENATE("R1C",'Mapa final'!$Q$14),"")</f>
        <v/>
      </c>
      <c r="AG6" s="48" t="str">
        <f>IF(AND('Mapa final'!$AA$15="Muy Alta",'Mapa final'!$AC$15="Mayor"),CONCATENATE("R1C",'Mapa final'!$Q$15),"")</f>
        <v/>
      </c>
      <c r="AH6" s="49" t="str">
        <f>IF(AND('Mapa final'!$AA$10="Muy Alta",'Mapa final'!$AC$10="Catastrófico"),CONCATENATE("R1C",'Mapa final'!$Q$10),"")</f>
        <v/>
      </c>
      <c r="AI6" s="50" t="str">
        <f>IF(AND('Mapa final'!$AA$11="Muy Alta",'Mapa final'!$AC$11="Catastrófico"),CONCATENATE("R1C",'Mapa final'!$Q$11),"")</f>
        <v/>
      </c>
      <c r="AJ6" s="50" t="str">
        <f>IF(AND('Mapa final'!$AA$12="Muy Alta",'Mapa final'!$AC$12="Catastrófico"),CONCATENATE("R1C",'Mapa final'!$Q$12),"")</f>
        <v/>
      </c>
      <c r="AK6" s="50" t="str">
        <f>IF(AND('Mapa final'!$AA$13="Muy Alta",'Mapa final'!$AC$13="Catastrófico"),CONCATENATE("R1C",'Mapa final'!$Q$13),"")</f>
        <v/>
      </c>
      <c r="AL6" s="50" t="str">
        <f>IF(AND('Mapa final'!$AA$14="Muy Alta",'Mapa final'!$AC$14="Catastrófico"),CONCATENATE("R1C",'Mapa final'!$Q$14),"")</f>
        <v/>
      </c>
      <c r="AM6" s="51" t="str">
        <f>IF(AND('Mapa final'!$AA$15="Muy Alta",'Mapa final'!$AC$15="Catastrófico"),CONCATENATE("R1C",'Mapa final'!$Q$15),"")</f>
        <v/>
      </c>
      <c r="AN6" s="83"/>
      <c r="AO6" s="345" t="s">
        <v>79</v>
      </c>
      <c r="AP6" s="346"/>
      <c r="AQ6" s="346"/>
      <c r="AR6" s="346"/>
      <c r="AS6" s="346"/>
      <c r="AT6" s="3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43"/>
      <c r="C7" s="243"/>
      <c r="D7" s="244"/>
      <c r="E7" s="342"/>
      <c r="F7" s="341"/>
      <c r="G7" s="341"/>
      <c r="H7" s="341"/>
      <c r="I7" s="357"/>
      <c r="J7" s="52" t="str">
        <f>IF(AND('Mapa final'!$AA$16="Muy Alta",'Mapa final'!$AC$16="Leve"),CONCATENATE("R2C",'Mapa final'!$Q$16),"")</f>
        <v/>
      </c>
      <c r="K7" s="53" t="str">
        <f>IF(AND('Mapa final'!$AA$17="Muy Alta",'Mapa final'!$AC$17="Leve"),CONCATENATE("R2C",'Mapa final'!$Q$17),"")</f>
        <v/>
      </c>
      <c r="L7" s="53" t="str">
        <f>IF(AND('Mapa final'!$AA$18="Muy Alta",'Mapa final'!$AC$18="Leve"),CONCATENATE("R2C",'Mapa final'!$Q$18),"")</f>
        <v/>
      </c>
      <c r="M7" s="53" t="str">
        <f>IF(AND('Mapa final'!$AA$19="Muy Alta",'Mapa final'!$AC$19="Leve"),CONCATENATE("R2C",'Mapa final'!$Q$19),"")</f>
        <v/>
      </c>
      <c r="N7" s="53" t="str">
        <f>IF(AND('Mapa final'!$AA$20="Muy Alta",'Mapa final'!$AC$20="Leve"),CONCATENATE("R2C",'Mapa final'!$Q$20),"")</f>
        <v/>
      </c>
      <c r="O7" s="54" t="str">
        <f>IF(AND('Mapa final'!$AA$21="Muy Alta",'Mapa final'!$AC$21="Leve"),CONCATENATE("R2C",'Mapa final'!$Q$21),"")</f>
        <v/>
      </c>
      <c r="P7" s="52" t="str">
        <f>IF(AND('Mapa final'!$AA$16="Muy Alta",'Mapa final'!$AC$16="Menor"),CONCATENATE("R2C",'Mapa final'!$Q$16),"")</f>
        <v/>
      </c>
      <c r="Q7" s="53" t="str">
        <f>IF(AND('Mapa final'!$AA$17="Muy Alta",'Mapa final'!$AC$17="Menor"),CONCATENATE("R2C",'Mapa final'!$Q$17),"")</f>
        <v/>
      </c>
      <c r="R7" s="53" t="str">
        <f>IF(AND('Mapa final'!$AA$18="Muy Alta",'Mapa final'!$AC$18="Menor"),CONCATENATE("R2C",'Mapa final'!$Q$18),"")</f>
        <v/>
      </c>
      <c r="S7" s="53" t="str">
        <f>IF(AND('Mapa final'!$AA$19="Muy Alta",'Mapa final'!$AC$19="Menor"),CONCATENATE("R2C",'Mapa final'!$Q$19),"")</f>
        <v/>
      </c>
      <c r="T7" s="53" t="str">
        <f>IF(AND('Mapa final'!$AA$20="Muy Alta",'Mapa final'!$AC$20="Menor"),CONCATENATE("R2C",'Mapa final'!$Q$20),"")</f>
        <v/>
      </c>
      <c r="U7" s="54" t="str">
        <f>IF(AND('Mapa final'!$AA$21="Muy Alta",'Mapa final'!$AC$21="Menor"),CONCATENATE("R2C",'Mapa final'!$Q$21),"")</f>
        <v/>
      </c>
      <c r="V7" s="52" t="str">
        <f>IF(AND('Mapa final'!$AA$16="Muy Alta",'Mapa final'!$AC$16="Moderado"),CONCATENATE("R2C",'Mapa final'!$Q$16),"")</f>
        <v/>
      </c>
      <c r="W7" s="53" t="str">
        <f>IF(AND('Mapa final'!$AA$17="Muy Alta",'Mapa final'!$AC$17="Moderado"),CONCATENATE("R2C",'Mapa final'!$Q$17),"")</f>
        <v/>
      </c>
      <c r="X7" s="53" t="str">
        <f>IF(AND('Mapa final'!$AA$18="Muy Alta",'Mapa final'!$AC$18="Moderado"),CONCATENATE("R2C",'Mapa final'!$Q$18),"")</f>
        <v/>
      </c>
      <c r="Y7" s="53" t="str">
        <f>IF(AND('Mapa final'!$AA$19="Muy Alta",'Mapa final'!$AC$19="Moderado"),CONCATENATE("R2C",'Mapa final'!$Q$19),"")</f>
        <v/>
      </c>
      <c r="Z7" s="53" t="str">
        <f>IF(AND('Mapa final'!$AA$20="Muy Alta",'Mapa final'!$AC$20="Moderado"),CONCATENATE("R2C",'Mapa final'!$Q$20),"")</f>
        <v/>
      </c>
      <c r="AA7" s="54" t="str">
        <f>IF(AND('Mapa final'!$AA$21="Muy Alta",'Mapa final'!$AC$21="Moderado"),CONCATENATE("R2C",'Mapa final'!$Q$21),"")</f>
        <v/>
      </c>
      <c r="AB7" s="52" t="str">
        <f>IF(AND('Mapa final'!$AA$16="Muy Alta",'Mapa final'!$AC$16="Mayor"),CONCATENATE("R2C",'Mapa final'!$Q$16),"")</f>
        <v/>
      </c>
      <c r="AC7" s="53" t="str">
        <f>IF(AND('Mapa final'!$AA$17="Muy Alta",'Mapa final'!$AC$17="Mayor"),CONCATENATE("R2C",'Mapa final'!$Q$17),"")</f>
        <v/>
      </c>
      <c r="AD7" s="53" t="str">
        <f>IF(AND('Mapa final'!$AA$18="Muy Alta",'Mapa final'!$AC$18="Mayor"),CONCATENATE("R2C",'Mapa final'!$Q$18),"")</f>
        <v/>
      </c>
      <c r="AE7" s="53" t="str">
        <f>IF(AND('Mapa final'!$AA$19="Muy Alta",'Mapa final'!$AC$19="Mayor"),CONCATENATE("R2C",'Mapa final'!$Q$19),"")</f>
        <v/>
      </c>
      <c r="AF7" s="53" t="str">
        <f>IF(AND('Mapa final'!$AA$20="Muy Alta",'Mapa final'!$AC$20="Mayor"),CONCATENATE("R2C",'Mapa final'!$Q$20),"")</f>
        <v/>
      </c>
      <c r="AG7" s="54" t="str">
        <f>IF(AND('Mapa final'!$AA$21="Muy Alta",'Mapa final'!$AC$21="Mayor"),CONCATENATE("R2C",'Mapa final'!$Q$21),"")</f>
        <v/>
      </c>
      <c r="AH7" s="55" t="str">
        <f>IF(AND('Mapa final'!$AA$16="Muy Alta",'Mapa final'!$AC$16="Catastrófico"),CONCATENATE("R2C",'Mapa final'!$Q$16),"")</f>
        <v/>
      </c>
      <c r="AI7" s="56" t="str">
        <f>IF(AND('Mapa final'!$AA$17="Muy Alta",'Mapa final'!$AC$17="Catastrófico"),CONCATENATE("R2C",'Mapa final'!$Q$17),"")</f>
        <v/>
      </c>
      <c r="AJ7" s="56" t="str">
        <f>IF(AND('Mapa final'!$AA$18="Muy Alta",'Mapa final'!$AC$18="Catastrófico"),CONCATENATE("R2C",'Mapa final'!$Q$18),"")</f>
        <v/>
      </c>
      <c r="AK7" s="56" t="str">
        <f>IF(AND('Mapa final'!$AA$19="Muy Alta",'Mapa final'!$AC$19="Catastrófico"),CONCATENATE("R2C",'Mapa final'!$Q$19),"")</f>
        <v/>
      </c>
      <c r="AL7" s="56" t="str">
        <f>IF(AND('Mapa final'!$AA$20="Muy Alta",'Mapa final'!$AC$20="Catastrófico"),CONCATENATE("R2C",'Mapa final'!$Q$20),"")</f>
        <v/>
      </c>
      <c r="AM7" s="57" t="str">
        <f>IF(AND('Mapa final'!$AA$21="Muy Alta",'Mapa final'!$AC$21="Catastrófico"),CONCATENATE("R2C",'Mapa final'!$Q$21),"")</f>
        <v/>
      </c>
      <c r="AN7" s="83"/>
      <c r="AO7" s="348"/>
      <c r="AP7" s="349"/>
      <c r="AQ7" s="349"/>
      <c r="AR7" s="349"/>
      <c r="AS7" s="349"/>
      <c r="AT7" s="3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43"/>
      <c r="C8" s="243"/>
      <c r="D8" s="244"/>
      <c r="E8" s="342"/>
      <c r="F8" s="341"/>
      <c r="G8" s="341"/>
      <c r="H8" s="341"/>
      <c r="I8" s="357"/>
      <c r="J8" s="52" t="str">
        <f>IF(AND('Mapa final'!$AA$22="Muy Alta",'Mapa final'!$AC$22="Leve"),CONCATENATE("R3C",'Mapa final'!$Q$22),"")</f>
        <v/>
      </c>
      <c r="K8" s="53" t="str">
        <f>IF(AND('Mapa final'!$AA$23="Muy Alta",'Mapa final'!$AC$23="Leve"),CONCATENATE("R3C",'Mapa final'!$Q$23),"")</f>
        <v/>
      </c>
      <c r="L8" s="53" t="str">
        <f>IF(AND('Mapa final'!$AA$24="Muy Alta",'Mapa final'!$AC$24="Leve"),CONCATENATE("R3C",'Mapa final'!$Q$24),"")</f>
        <v/>
      </c>
      <c r="M8" s="53" t="str">
        <f>IF(AND('Mapa final'!$AA$25="Muy Alta",'Mapa final'!$AC$25="Leve"),CONCATENATE("R3C",'Mapa final'!$Q$25),"")</f>
        <v/>
      </c>
      <c r="N8" s="53" t="str">
        <f>IF(AND('Mapa final'!$AA$26="Muy Alta",'Mapa final'!$AC$26="Leve"),CONCATENATE("R3C",'Mapa final'!$Q$26),"")</f>
        <v/>
      </c>
      <c r="O8" s="54" t="str">
        <f>IF(AND('Mapa final'!$AA$27="Muy Alta",'Mapa final'!$AC$27="Leve"),CONCATENATE("R3C",'Mapa final'!$Q$27),"")</f>
        <v/>
      </c>
      <c r="P8" s="52" t="str">
        <f>IF(AND('Mapa final'!$AA$22="Muy Alta",'Mapa final'!$AC$22="Menor"),CONCATENATE("R3C",'Mapa final'!$Q$22),"")</f>
        <v/>
      </c>
      <c r="Q8" s="53" t="str">
        <f>IF(AND('Mapa final'!$AA$23="Muy Alta",'Mapa final'!$AC$23="Menor"),CONCATENATE("R3C",'Mapa final'!$Q$23),"")</f>
        <v/>
      </c>
      <c r="R8" s="53" t="str">
        <f>IF(AND('Mapa final'!$AA$24="Muy Alta",'Mapa final'!$AC$24="Menor"),CONCATENATE("R3C",'Mapa final'!$Q$24),"")</f>
        <v/>
      </c>
      <c r="S8" s="53" t="str">
        <f>IF(AND('Mapa final'!$AA$25="Muy Alta",'Mapa final'!$AC$25="Menor"),CONCATENATE("R3C",'Mapa final'!$Q$25),"")</f>
        <v/>
      </c>
      <c r="T8" s="53" t="str">
        <f>IF(AND('Mapa final'!$AA$26="Muy Alta",'Mapa final'!$AC$26="Menor"),CONCATENATE("R3C",'Mapa final'!$Q$26),"")</f>
        <v/>
      </c>
      <c r="U8" s="54" t="str">
        <f>IF(AND('Mapa final'!$AA$27="Muy Alta",'Mapa final'!$AC$27="Menor"),CONCATENATE("R3C",'Mapa final'!$Q$27),"")</f>
        <v/>
      </c>
      <c r="V8" s="52" t="str">
        <f>IF(AND('Mapa final'!$AA$22="Muy Alta",'Mapa final'!$AC$22="Moderado"),CONCATENATE("R3C",'Mapa final'!$Q$22),"")</f>
        <v/>
      </c>
      <c r="W8" s="53" t="str">
        <f>IF(AND('Mapa final'!$AA$23="Muy Alta",'Mapa final'!$AC$23="Moderado"),CONCATENATE("R3C",'Mapa final'!$Q$23),"")</f>
        <v/>
      </c>
      <c r="X8" s="53" t="str">
        <f>IF(AND('Mapa final'!$AA$24="Muy Alta",'Mapa final'!$AC$24="Moderado"),CONCATENATE("R3C",'Mapa final'!$Q$24),"")</f>
        <v/>
      </c>
      <c r="Y8" s="53" t="str">
        <f>IF(AND('Mapa final'!$AA$25="Muy Alta",'Mapa final'!$AC$25="Moderado"),CONCATENATE("R3C",'Mapa final'!$Q$25),"")</f>
        <v/>
      </c>
      <c r="Z8" s="53" t="str">
        <f>IF(AND('Mapa final'!$AA$26="Muy Alta",'Mapa final'!$AC$26="Moderado"),CONCATENATE("R3C",'Mapa final'!$Q$26),"")</f>
        <v/>
      </c>
      <c r="AA8" s="54" t="str">
        <f>IF(AND('Mapa final'!$AA$27="Muy Alta",'Mapa final'!$AC$27="Moderado"),CONCATENATE("R3C",'Mapa final'!$Q$27),"")</f>
        <v/>
      </c>
      <c r="AB8" s="52" t="str">
        <f>IF(AND('Mapa final'!$AA$22="Muy Alta",'Mapa final'!$AC$22="Mayor"),CONCATENATE("R3C",'Mapa final'!$Q$22),"")</f>
        <v/>
      </c>
      <c r="AC8" s="53" t="str">
        <f>IF(AND('Mapa final'!$AA$23="Muy Alta",'Mapa final'!$AC$23="Mayor"),CONCATENATE("R3C",'Mapa final'!$Q$23),"")</f>
        <v/>
      </c>
      <c r="AD8" s="53" t="str">
        <f>IF(AND('Mapa final'!$AA$24="Muy Alta",'Mapa final'!$AC$24="Mayor"),CONCATENATE("R3C",'Mapa final'!$Q$24),"")</f>
        <v/>
      </c>
      <c r="AE8" s="53" t="str">
        <f>IF(AND('Mapa final'!$AA$25="Muy Alta",'Mapa final'!$AC$25="Mayor"),CONCATENATE("R3C",'Mapa final'!$Q$25),"")</f>
        <v/>
      </c>
      <c r="AF8" s="53" t="str">
        <f>IF(AND('Mapa final'!$AA$26="Muy Alta",'Mapa final'!$AC$26="Mayor"),CONCATENATE("R3C",'Mapa final'!$Q$26),"")</f>
        <v/>
      </c>
      <c r="AG8" s="54" t="str">
        <f>IF(AND('Mapa final'!$AA$27="Muy Alta",'Mapa final'!$AC$27="Mayor"),CONCATENATE("R3C",'Mapa final'!$Q$27),"")</f>
        <v/>
      </c>
      <c r="AH8" s="55" t="str">
        <f>IF(AND('Mapa final'!$AA$22="Muy Alta",'Mapa final'!$AC$22="Catastrófico"),CONCATENATE("R3C",'Mapa final'!$Q$22),"")</f>
        <v/>
      </c>
      <c r="AI8" s="56" t="str">
        <f>IF(AND('Mapa final'!$AA$23="Muy Alta",'Mapa final'!$AC$23="Catastrófico"),CONCATENATE("R3C",'Mapa final'!$Q$23),"")</f>
        <v/>
      </c>
      <c r="AJ8" s="56" t="str">
        <f>IF(AND('Mapa final'!$AA$24="Muy Alta",'Mapa final'!$AC$24="Catastrófico"),CONCATENATE("R3C",'Mapa final'!$Q$24),"")</f>
        <v/>
      </c>
      <c r="AK8" s="56" t="str">
        <f>IF(AND('Mapa final'!$AA$25="Muy Alta",'Mapa final'!$AC$25="Catastrófico"),CONCATENATE("R3C",'Mapa final'!$Q$25),"")</f>
        <v/>
      </c>
      <c r="AL8" s="56" t="str">
        <f>IF(AND('Mapa final'!$AA$26="Muy Alta",'Mapa final'!$AC$26="Catastrófico"),CONCATENATE("R3C",'Mapa final'!$Q$26),"")</f>
        <v/>
      </c>
      <c r="AM8" s="57" t="str">
        <f>IF(AND('Mapa final'!$AA$27="Muy Alta",'Mapa final'!$AC$27="Catastrófico"),CONCATENATE("R3C",'Mapa final'!$Q$27),"")</f>
        <v/>
      </c>
      <c r="AN8" s="83"/>
      <c r="AO8" s="348"/>
      <c r="AP8" s="349"/>
      <c r="AQ8" s="349"/>
      <c r="AR8" s="349"/>
      <c r="AS8" s="349"/>
      <c r="AT8" s="3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43"/>
      <c r="C9" s="243"/>
      <c r="D9" s="244"/>
      <c r="E9" s="342"/>
      <c r="F9" s="341"/>
      <c r="G9" s="341"/>
      <c r="H9" s="341"/>
      <c r="I9" s="357"/>
      <c r="J9" s="52" t="str">
        <f>IF(AND('Mapa final'!$AA$28="Muy Alta",'Mapa final'!$AC$28="Leve"),CONCATENATE("R4C",'Mapa final'!$Q$28),"")</f>
        <v/>
      </c>
      <c r="K9" s="53" t="str">
        <f>IF(AND('Mapa final'!$AA$29="Muy Alta",'Mapa final'!$AC$29="Leve"),CONCATENATE("R4C",'Mapa final'!$Q$29),"")</f>
        <v/>
      </c>
      <c r="L9" s="53" t="str">
        <f>IF(AND('Mapa final'!$AA$30="Muy Alta",'Mapa final'!$AC$30="Leve"),CONCATENATE("R4C",'Mapa final'!$Q$30),"")</f>
        <v/>
      </c>
      <c r="M9" s="53" t="str">
        <f>IF(AND('Mapa final'!$AA$31="Muy Alta",'Mapa final'!$AC$31="Leve"),CONCATENATE("R4C",'Mapa final'!$Q$31),"")</f>
        <v/>
      </c>
      <c r="N9" s="53" t="str">
        <f>IF(AND('Mapa final'!$AA$32="Muy Alta",'Mapa final'!$AC$32="Leve"),CONCATENATE("R4C",'Mapa final'!$Q$32),"")</f>
        <v/>
      </c>
      <c r="O9" s="54" t="str">
        <f>IF(AND('Mapa final'!$AA$33="Muy Alta",'Mapa final'!$AC$33="Leve"),CONCATENATE("R4C",'Mapa final'!$Q$33),"")</f>
        <v/>
      </c>
      <c r="P9" s="52" t="str">
        <f>IF(AND('Mapa final'!$AA$28="Muy Alta",'Mapa final'!$AC$28="Menor"),CONCATENATE("R4C",'Mapa final'!$Q$28),"")</f>
        <v/>
      </c>
      <c r="Q9" s="53" t="str">
        <f>IF(AND('Mapa final'!$AA$29="Muy Alta",'Mapa final'!$AC$29="Menor"),CONCATENATE("R4C",'Mapa final'!$Q$29),"")</f>
        <v/>
      </c>
      <c r="R9" s="53" t="str">
        <f>IF(AND('Mapa final'!$AA$30="Muy Alta",'Mapa final'!$AC$30="Menor"),CONCATENATE("R4C",'Mapa final'!$Q$30),"")</f>
        <v/>
      </c>
      <c r="S9" s="53" t="str">
        <f>IF(AND('Mapa final'!$AA$31="Muy Alta",'Mapa final'!$AC$31="Menor"),CONCATENATE("R4C",'Mapa final'!$Q$31),"")</f>
        <v/>
      </c>
      <c r="T9" s="53" t="str">
        <f>IF(AND('Mapa final'!$AA$32="Muy Alta",'Mapa final'!$AC$32="Menor"),CONCATENATE("R4C",'Mapa final'!$Q$32),"")</f>
        <v/>
      </c>
      <c r="U9" s="54" t="str">
        <f>IF(AND('Mapa final'!$AA$33="Muy Alta",'Mapa final'!$AC$33="Menor"),CONCATENATE("R4C",'Mapa final'!$Q$33),"")</f>
        <v/>
      </c>
      <c r="V9" s="52" t="str">
        <f>IF(AND('Mapa final'!$AA$28="Muy Alta",'Mapa final'!$AC$28="Moderado"),CONCATENATE("R4C",'Mapa final'!$Q$28),"")</f>
        <v/>
      </c>
      <c r="W9" s="53" t="str">
        <f>IF(AND('Mapa final'!$AA$29="Muy Alta",'Mapa final'!$AC$29="Moderado"),CONCATENATE("R4C",'Mapa final'!$Q$29),"")</f>
        <v/>
      </c>
      <c r="X9" s="53" t="str">
        <f>IF(AND('Mapa final'!$AA$30="Muy Alta",'Mapa final'!$AC$30="Moderado"),CONCATENATE("R4C",'Mapa final'!$Q$30),"")</f>
        <v/>
      </c>
      <c r="Y9" s="53" t="str">
        <f>IF(AND('Mapa final'!$AA$31="Muy Alta",'Mapa final'!$AC$31="Moderado"),CONCATENATE("R4C",'Mapa final'!$Q$31),"")</f>
        <v/>
      </c>
      <c r="Z9" s="53" t="str">
        <f>IF(AND('Mapa final'!$AA$32="Muy Alta",'Mapa final'!$AC$32="Moderado"),CONCATENATE("R4C",'Mapa final'!$Q$32),"")</f>
        <v/>
      </c>
      <c r="AA9" s="54" t="str">
        <f>IF(AND('Mapa final'!$AA$33="Muy Alta",'Mapa final'!$AC$33="Moderado"),CONCATENATE("R4C",'Mapa final'!$Q$33),"")</f>
        <v/>
      </c>
      <c r="AB9" s="52" t="str">
        <f>IF(AND('Mapa final'!$AA$28="Muy Alta",'Mapa final'!$AC$28="Mayor"),CONCATENATE("R4C",'Mapa final'!$Q$28),"")</f>
        <v/>
      </c>
      <c r="AC9" s="53" t="str">
        <f>IF(AND('Mapa final'!$AA$29="Muy Alta",'Mapa final'!$AC$29="Mayor"),CONCATENATE("R4C",'Mapa final'!$Q$29),"")</f>
        <v/>
      </c>
      <c r="AD9" s="53" t="str">
        <f>IF(AND('Mapa final'!$AA$30="Muy Alta",'Mapa final'!$AC$30="Mayor"),CONCATENATE("R4C",'Mapa final'!$Q$30),"")</f>
        <v/>
      </c>
      <c r="AE9" s="53" t="str">
        <f>IF(AND('Mapa final'!$AA$31="Muy Alta",'Mapa final'!$AC$31="Mayor"),CONCATENATE("R4C",'Mapa final'!$Q$31),"")</f>
        <v/>
      </c>
      <c r="AF9" s="53" t="str">
        <f>IF(AND('Mapa final'!$AA$32="Muy Alta",'Mapa final'!$AC$32="Mayor"),CONCATENATE("R4C",'Mapa final'!$Q$32),"")</f>
        <v/>
      </c>
      <c r="AG9" s="54" t="str">
        <f>IF(AND('Mapa final'!$AA$33="Muy Alta",'Mapa final'!$AC$33="Mayor"),CONCATENATE("R4C",'Mapa final'!$Q$33),"")</f>
        <v/>
      </c>
      <c r="AH9" s="55" t="str">
        <f>IF(AND('Mapa final'!$AA$28="Muy Alta",'Mapa final'!$AC$28="Catastrófico"),CONCATENATE("R4C",'Mapa final'!$Q$28),"")</f>
        <v/>
      </c>
      <c r="AI9" s="56" t="str">
        <f>IF(AND('Mapa final'!$AA$29="Muy Alta",'Mapa final'!$AC$29="Catastrófico"),CONCATENATE("R4C",'Mapa final'!$Q$29),"")</f>
        <v/>
      </c>
      <c r="AJ9" s="56" t="str">
        <f>IF(AND('Mapa final'!$AA$30="Muy Alta",'Mapa final'!$AC$30="Catastrófico"),CONCATENATE("R4C",'Mapa final'!$Q$30),"")</f>
        <v/>
      </c>
      <c r="AK9" s="56" t="str">
        <f>IF(AND('Mapa final'!$AA$31="Muy Alta",'Mapa final'!$AC$31="Catastrófico"),CONCATENATE("R4C",'Mapa final'!$Q$31),"")</f>
        <v/>
      </c>
      <c r="AL9" s="56" t="str">
        <f>IF(AND('Mapa final'!$AA$32="Muy Alta",'Mapa final'!$AC$32="Catastrófico"),CONCATENATE("R4C",'Mapa final'!$Q$32),"")</f>
        <v/>
      </c>
      <c r="AM9" s="57" t="str">
        <f>IF(AND('Mapa final'!$AA$33="Muy Alta",'Mapa final'!$AC$33="Catastrófico"),CONCATENATE("R4C",'Mapa final'!$Q$33),"")</f>
        <v/>
      </c>
      <c r="AN9" s="83"/>
      <c r="AO9" s="348"/>
      <c r="AP9" s="349"/>
      <c r="AQ9" s="349"/>
      <c r="AR9" s="349"/>
      <c r="AS9" s="349"/>
      <c r="AT9" s="3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43"/>
      <c r="C10" s="243"/>
      <c r="D10" s="244"/>
      <c r="E10" s="342"/>
      <c r="F10" s="341"/>
      <c r="G10" s="341"/>
      <c r="H10" s="341"/>
      <c r="I10" s="357"/>
      <c r="J10" s="52" t="str">
        <f>IF(AND('Mapa final'!$AA$34="Muy Alta",'Mapa final'!$AC$34="Leve"),CONCATENATE("R5C",'Mapa final'!$Q$34),"")</f>
        <v/>
      </c>
      <c r="K10" s="53" t="str">
        <f>IF(AND('Mapa final'!$AA$35="Muy Alta",'Mapa final'!$AC$35="Leve"),CONCATENATE("R5C",'Mapa final'!$Q$35),"")</f>
        <v/>
      </c>
      <c r="L10" s="53" t="str">
        <f>IF(AND('Mapa final'!$AA$36="Muy Alta",'Mapa final'!$AC$36="Leve"),CONCATENATE("R5C",'Mapa final'!$Q$36),"")</f>
        <v/>
      </c>
      <c r="M10" s="53" t="str">
        <f>IF(AND('Mapa final'!$AA$37="Muy Alta",'Mapa final'!$AC$37="Leve"),CONCATENATE("R5C",'Mapa final'!$Q$37),"")</f>
        <v/>
      </c>
      <c r="N10" s="53" t="str">
        <f>IF(AND('Mapa final'!$AA$38="Muy Alta",'Mapa final'!$AC$38="Leve"),CONCATENATE("R5C",'Mapa final'!$Q$38),"")</f>
        <v/>
      </c>
      <c r="O10" s="54" t="str">
        <f>IF(AND('Mapa final'!$AA$39="Muy Alta",'Mapa final'!$AC$39="Leve"),CONCATENATE("R5C",'Mapa final'!$Q$39),"")</f>
        <v/>
      </c>
      <c r="P10" s="52" t="str">
        <f>IF(AND('Mapa final'!$AA$34="Muy Alta",'Mapa final'!$AC$34="Menor"),CONCATENATE("R5C",'Mapa final'!$Q$34),"")</f>
        <v/>
      </c>
      <c r="Q10" s="53" t="str">
        <f>IF(AND('Mapa final'!$AA$35="Muy Alta",'Mapa final'!$AC$35="Menor"),CONCATENATE("R5C",'Mapa final'!$Q$35),"")</f>
        <v/>
      </c>
      <c r="R10" s="53" t="str">
        <f>IF(AND('Mapa final'!$AA$36="Muy Alta",'Mapa final'!$AC$36="Menor"),CONCATENATE("R5C",'Mapa final'!$Q$36),"")</f>
        <v/>
      </c>
      <c r="S10" s="53" t="str">
        <f>IF(AND('Mapa final'!$AA$37="Muy Alta",'Mapa final'!$AC$37="Menor"),CONCATENATE("R5C",'Mapa final'!$Q$37),"")</f>
        <v/>
      </c>
      <c r="T10" s="53" t="str">
        <f>IF(AND('Mapa final'!$AA$38="Muy Alta",'Mapa final'!$AC$38="Menor"),CONCATENATE("R5C",'Mapa final'!$Q$38),"")</f>
        <v/>
      </c>
      <c r="U10" s="54" t="str">
        <f>IF(AND('Mapa final'!$AA$39="Muy Alta",'Mapa final'!$AC$39="Menor"),CONCATENATE("R5C",'Mapa final'!$Q$39),"")</f>
        <v/>
      </c>
      <c r="V10" s="52" t="str">
        <f>IF(AND('Mapa final'!$AA$34="Muy Alta",'Mapa final'!$AC$34="Moderado"),CONCATENATE("R5C",'Mapa final'!$Q$34),"")</f>
        <v/>
      </c>
      <c r="W10" s="53" t="str">
        <f>IF(AND('Mapa final'!$AA$35="Muy Alta",'Mapa final'!$AC$35="Moderado"),CONCATENATE("R5C",'Mapa final'!$Q$35),"")</f>
        <v/>
      </c>
      <c r="X10" s="53" t="str">
        <f>IF(AND('Mapa final'!$AA$36="Muy Alta",'Mapa final'!$AC$36="Moderado"),CONCATENATE("R5C",'Mapa final'!$Q$36),"")</f>
        <v/>
      </c>
      <c r="Y10" s="53" t="str">
        <f>IF(AND('Mapa final'!$AA$37="Muy Alta",'Mapa final'!$AC$37="Moderado"),CONCATENATE("R5C",'Mapa final'!$Q$37),"")</f>
        <v/>
      </c>
      <c r="Z10" s="53" t="str">
        <f>IF(AND('Mapa final'!$AA$38="Muy Alta",'Mapa final'!$AC$38="Moderado"),CONCATENATE("R5C",'Mapa final'!$Q$38),"")</f>
        <v/>
      </c>
      <c r="AA10" s="54" t="str">
        <f>IF(AND('Mapa final'!$AA$39="Muy Alta",'Mapa final'!$AC$39="Moderado"),CONCATENATE("R5C",'Mapa final'!$Q$39),"")</f>
        <v/>
      </c>
      <c r="AB10" s="52" t="str">
        <f>IF(AND('Mapa final'!$AA$34="Muy Alta",'Mapa final'!$AC$34="Mayor"),CONCATENATE("R5C",'Mapa final'!$Q$34),"")</f>
        <v/>
      </c>
      <c r="AC10" s="53" t="str">
        <f>IF(AND('Mapa final'!$AA$35="Muy Alta",'Mapa final'!$AC$35="Mayor"),CONCATENATE("R5C",'Mapa final'!$Q$35),"")</f>
        <v/>
      </c>
      <c r="AD10" s="53" t="str">
        <f>IF(AND('Mapa final'!$AA$36="Muy Alta",'Mapa final'!$AC$36="Mayor"),CONCATENATE("R5C",'Mapa final'!$Q$36),"")</f>
        <v/>
      </c>
      <c r="AE10" s="53" t="str">
        <f>IF(AND('Mapa final'!$AA$37="Muy Alta",'Mapa final'!$AC$37="Mayor"),CONCATENATE("R5C",'Mapa final'!$Q$37),"")</f>
        <v/>
      </c>
      <c r="AF10" s="53" t="str">
        <f>IF(AND('Mapa final'!$AA$38="Muy Alta",'Mapa final'!$AC$38="Mayor"),CONCATENATE("R5C",'Mapa final'!$Q$38),"")</f>
        <v/>
      </c>
      <c r="AG10" s="54" t="str">
        <f>IF(AND('Mapa final'!$AA$39="Muy Alta",'Mapa final'!$AC$39="Mayor"),CONCATENATE("R5C",'Mapa final'!$Q$39),"")</f>
        <v/>
      </c>
      <c r="AH10" s="55" t="str">
        <f>IF(AND('Mapa final'!$AA$34="Muy Alta",'Mapa final'!$AC$34="Catastrófico"),CONCATENATE("R5C",'Mapa final'!$Q$34),"")</f>
        <v/>
      </c>
      <c r="AI10" s="56" t="str">
        <f>IF(AND('Mapa final'!$AA$35="Muy Alta",'Mapa final'!$AC$35="Catastrófico"),CONCATENATE("R5C",'Mapa final'!$Q$35),"")</f>
        <v/>
      </c>
      <c r="AJ10" s="56" t="str">
        <f>IF(AND('Mapa final'!$AA$36="Muy Alta",'Mapa final'!$AC$36="Catastrófico"),CONCATENATE("R5C",'Mapa final'!$Q$36),"")</f>
        <v/>
      </c>
      <c r="AK10" s="56" t="str">
        <f>IF(AND('Mapa final'!$AA$37="Muy Alta",'Mapa final'!$AC$37="Catastrófico"),CONCATENATE("R5C",'Mapa final'!$Q$37),"")</f>
        <v/>
      </c>
      <c r="AL10" s="56" t="str">
        <f>IF(AND('Mapa final'!$AA$38="Muy Alta",'Mapa final'!$AC$38="Catastrófico"),CONCATENATE("R5C",'Mapa final'!$Q$38),"")</f>
        <v/>
      </c>
      <c r="AM10" s="57" t="str">
        <f>IF(AND('Mapa final'!$AA$39="Muy Alta",'Mapa final'!$AC$39="Catastrófico"),CONCATENATE("R5C",'Mapa final'!$Q$39),"")</f>
        <v/>
      </c>
      <c r="AN10" s="83"/>
      <c r="AO10" s="348"/>
      <c r="AP10" s="349"/>
      <c r="AQ10" s="349"/>
      <c r="AR10" s="349"/>
      <c r="AS10" s="349"/>
      <c r="AT10" s="3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43"/>
      <c r="C11" s="243"/>
      <c r="D11" s="244"/>
      <c r="E11" s="342"/>
      <c r="F11" s="341"/>
      <c r="G11" s="341"/>
      <c r="H11" s="341"/>
      <c r="I11" s="357"/>
      <c r="J11" s="52" t="str">
        <f>IF(AND('Mapa final'!$AA$40="Muy Alta",'Mapa final'!$AC$40="Leve"),CONCATENATE("R6C",'Mapa final'!$Q$40),"")</f>
        <v/>
      </c>
      <c r="K11" s="53" t="str">
        <f>IF(AND('Mapa final'!$AA$41="Muy Alta",'Mapa final'!$AC$41="Leve"),CONCATENATE("R6C",'Mapa final'!$Q$41),"")</f>
        <v/>
      </c>
      <c r="L11" s="53" t="str">
        <f>IF(AND('Mapa final'!$AA$42="Muy Alta",'Mapa final'!$AC$42="Leve"),CONCATENATE("R6C",'Mapa final'!$Q$42),"")</f>
        <v/>
      </c>
      <c r="M11" s="53" t="str">
        <f>IF(AND('Mapa final'!$AA$43="Muy Alta",'Mapa final'!$AC$43="Leve"),CONCATENATE("R6C",'Mapa final'!$Q$43),"")</f>
        <v/>
      </c>
      <c r="N11" s="53" t="str">
        <f>IF(AND('Mapa final'!$AA$44="Muy Alta",'Mapa final'!$AC$44="Leve"),CONCATENATE("R6C",'Mapa final'!$Q$44),"")</f>
        <v/>
      </c>
      <c r="O11" s="54" t="str">
        <f>IF(AND('Mapa final'!$AA$45="Muy Alta",'Mapa final'!$AC$45="Leve"),CONCATENATE("R6C",'Mapa final'!$Q$45),"")</f>
        <v/>
      </c>
      <c r="P11" s="52" t="str">
        <f>IF(AND('Mapa final'!$AA$40="Muy Alta",'Mapa final'!$AC$40="Menor"),CONCATENATE("R6C",'Mapa final'!$Q$40),"")</f>
        <v/>
      </c>
      <c r="Q11" s="53" t="str">
        <f>IF(AND('Mapa final'!$AA$41="Muy Alta",'Mapa final'!$AC$41="Menor"),CONCATENATE("R6C",'Mapa final'!$Q$41),"")</f>
        <v/>
      </c>
      <c r="R11" s="53" t="str">
        <f>IF(AND('Mapa final'!$AA$42="Muy Alta",'Mapa final'!$AC$42="Menor"),CONCATENATE("R6C",'Mapa final'!$Q$42),"")</f>
        <v/>
      </c>
      <c r="S11" s="53" t="str">
        <f>IF(AND('Mapa final'!$AA$43="Muy Alta",'Mapa final'!$AC$43="Menor"),CONCATENATE("R6C",'Mapa final'!$Q$43),"")</f>
        <v/>
      </c>
      <c r="T11" s="53" t="str">
        <f>IF(AND('Mapa final'!$AA$44="Muy Alta",'Mapa final'!$AC$44="Menor"),CONCATENATE("R6C",'Mapa final'!$Q$44),"")</f>
        <v/>
      </c>
      <c r="U11" s="54" t="str">
        <f>IF(AND('Mapa final'!$AA$45="Muy Alta",'Mapa final'!$AC$45="Menor"),CONCATENATE("R6C",'Mapa final'!$Q$45),"")</f>
        <v/>
      </c>
      <c r="V11" s="52" t="str">
        <f>IF(AND('Mapa final'!$AA$40="Muy Alta",'Mapa final'!$AC$40="Moderado"),CONCATENATE("R6C",'Mapa final'!$Q$40),"")</f>
        <v/>
      </c>
      <c r="W11" s="53" t="str">
        <f>IF(AND('Mapa final'!$AA$41="Muy Alta",'Mapa final'!$AC$41="Moderado"),CONCATENATE("R6C",'Mapa final'!$Q$41),"")</f>
        <v/>
      </c>
      <c r="X11" s="53" t="str">
        <f>IF(AND('Mapa final'!$AA$42="Muy Alta",'Mapa final'!$AC$42="Moderado"),CONCATENATE("R6C",'Mapa final'!$Q$42),"")</f>
        <v/>
      </c>
      <c r="Y11" s="53" t="str">
        <f>IF(AND('Mapa final'!$AA$43="Muy Alta",'Mapa final'!$AC$43="Moderado"),CONCATENATE("R6C",'Mapa final'!$Q$43),"")</f>
        <v/>
      </c>
      <c r="Z11" s="53" t="str">
        <f>IF(AND('Mapa final'!$AA$44="Muy Alta",'Mapa final'!$AC$44="Moderado"),CONCATENATE("R6C",'Mapa final'!$Q$44),"")</f>
        <v/>
      </c>
      <c r="AA11" s="54" t="str">
        <f>IF(AND('Mapa final'!$AA$45="Muy Alta",'Mapa final'!$AC$45="Moderado"),CONCATENATE("R6C",'Mapa final'!$Q$45),"")</f>
        <v/>
      </c>
      <c r="AB11" s="52" t="str">
        <f>IF(AND('Mapa final'!$AA$40="Muy Alta",'Mapa final'!$AC$40="Mayor"),CONCATENATE("R6C",'Mapa final'!$Q$40),"")</f>
        <v/>
      </c>
      <c r="AC11" s="53" t="str">
        <f>IF(AND('Mapa final'!$AA$41="Muy Alta",'Mapa final'!$AC$41="Mayor"),CONCATENATE("R6C",'Mapa final'!$Q$41),"")</f>
        <v/>
      </c>
      <c r="AD11" s="53" t="str">
        <f>IF(AND('Mapa final'!$AA$42="Muy Alta",'Mapa final'!$AC$42="Mayor"),CONCATENATE("R6C",'Mapa final'!$Q$42),"")</f>
        <v/>
      </c>
      <c r="AE11" s="53" t="str">
        <f>IF(AND('Mapa final'!$AA$43="Muy Alta",'Mapa final'!$AC$43="Mayor"),CONCATENATE("R6C",'Mapa final'!$Q$43),"")</f>
        <v/>
      </c>
      <c r="AF11" s="53" t="str">
        <f>IF(AND('Mapa final'!$AA$44="Muy Alta",'Mapa final'!$AC$44="Mayor"),CONCATENATE("R6C",'Mapa final'!$Q$44),"")</f>
        <v/>
      </c>
      <c r="AG11" s="54" t="str">
        <f>IF(AND('Mapa final'!$AA$45="Muy Alta",'Mapa final'!$AC$45="Mayor"),CONCATENATE("R6C",'Mapa final'!$Q$45),"")</f>
        <v/>
      </c>
      <c r="AH11" s="55" t="str">
        <f>IF(AND('Mapa final'!$AA$40="Muy Alta",'Mapa final'!$AC$40="Catastrófico"),CONCATENATE("R6C",'Mapa final'!$Q$40),"")</f>
        <v/>
      </c>
      <c r="AI11" s="56" t="str">
        <f>IF(AND('Mapa final'!$AA$41="Muy Alta",'Mapa final'!$AC$41="Catastrófico"),CONCATENATE("R6C",'Mapa final'!$Q$41),"")</f>
        <v/>
      </c>
      <c r="AJ11" s="56" t="str">
        <f>IF(AND('Mapa final'!$AA$42="Muy Alta",'Mapa final'!$AC$42="Catastrófico"),CONCATENATE("R6C",'Mapa final'!$Q$42),"")</f>
        <v/>
      </c>
      <c r="AK11" s="56" t="str">
        <f>IF(AND('Mapa final'!$AA$43="Muy Alta",'Mapa final'!$AC$43="Catastrófico"),CONCATENATE("R6C",'Mapa final'!$Q$43),"")</f>
        <v/>
      </c>
      <c r="AL11" s="56" t="str">
        <f>IF(AND('Mapa final'!$AA$44="Muy Alta",'Mapa final'!$AC$44="Catastrófico"),CONCATENATE("R6C",'Mapa final'!$Q$44),"")</f>
        <v/>
      </c>
      <c r="AM11" s="57" t="str">
        <f>IF(AND('Mapa final'!$AA$45="Muy Alta",'Mapa final'!$AC$45="Catastrófico"),CONCATENATE("R6C",'Mapa final'!$Q$45),"")</f>
        <v/>
      </c>
      <c r="AN11" s="83"/>
      <c r="AO11" s="348"/>
      <c r="AP11" s="349"/>
      <c r="AQ11" s="349"/>
      <c r="AR11" s="349"/>
      <c r="AS11" s="349"/>
      <c r="AT11" s="3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43"/>
      <c r="C12" s="243"/>
      <c r="D12" s="244"/>
      <c r="E12" s="342"/>
      <c r="F12" s="341"/>
      <c r="G12" s="341"/>
      <c r="H12" s="341"/>
      <c r="I12" s="357"/>
      <c r="J12" s="52" t="str">
        <f>IF(AND('Mapa final'!$AA$46="Muy Alta",'Mapa final'!$AC$46="Leve"),CONCATENATE("R7C",'Mapa final'!$Q$46),"")</f>
        <v/>
      </c>
      <c r="K12" s="53" t="str">
        <f>IF(AND('Mapa final'!$AA$47="Muy Alta",'Mapa final'!$AC$47="Leve"),CONCATENATE("R7C",'Mapa final'!$Q$47),"")</f>
        <v/>
      </c>
      <c r="L12" s="53" t="str">
        <f>IF(AND('Mapa final'!$AA$48="Muy Alta",'Mapa final'!$AC$48="Leve"),CONCATENATE("R7C",'Mapa final'!$Q$48),"")</f>
        <v/>
      </c>
      <c r="M12" s="53" t="str">
        <f>IF(AND('Mapa final'!$AA$49="Muy Alta",'Mapa final'!$AC$49="Leve"),CONCATENATE("R7C",'Mapa final'!$Q$49),"")</f>
        <v/>
      </c>
      <c r="N12" s="53" t="str">
        <f>IF(AND('Mapa final'!$AA$50="Muy Alta",'Mapa final'!$AC$50="Leve"),CONCATENATE("R7C",'Mapa final'!$Q$50),"")</f>
        <v/>
      </c>
      <c r="O12" s="54" t="str">
        <f>IF(AND('Mapa final'!$AA$51="Muy Alta",'Mapa final'!$AC$51="Leve"),CONCATENATE("R7C",'Mapa final'!$Q$51),"")</f>
        <v/>
      </c>
      <c r="P12" s="52" t="str">
        <f>IF(AND('Mapa final'!$AA$46="Muy Alta",'Mapa final'!$AC$46="Menor"),CONCATENATE("R7C",'Mapa final'!$Q$46),"")</f>
        <v/>
      </c>
      <c r="Q12" s="53" t="str">
        <f>IF(AND('Mapa final'!$AA$47="Muy Alta",'Mapa final'!$AC$47="Menor"),CONCATENATE("R7C",'Mapa final'!$Q$47),"")</f>
        <v/>
      </c>
      <c r="R12" s="53" t="str">
        <f>IF(AND('Mapa final'!$AA$48="Muy Alta",'Mapa final'!$AC$48="Menor"),CONCATENATE("R7C",'Mapa final'!$Q$48),"")</f>
        <v/>
      </c>
      <c r="S12" s="53" t="str">
        <f>IF(AND('Mapa final'!$AA$49="Muy Alta",'Mapa final'!$AC$49="Menor"),CONCATENATE("R7C",'Mapa final'!$Q$49),"")</f>
        <v/>
      </c>
      <c r="T12" s="53" t="str">
        <f>IF(AND('Mapa final'!$AA$50="Muy Alta",'Mapa final'!$AC$50="Menor"),CONCATENATE("R7C",'Mapa final'!$Q$50),"")</f>
        <v/>
      </c>
      <c r="U12" s="54" t="str">
        <f>IF(AND('Mapa final'!$AA$51="Muy Alta",'Mapa final'!$AC$51="Menor"),CONCATENATE("R7C",'Mapa final'!$Q$51),"")</f>
        <v/>
      </c>
      <c r="V12" s="52" t="str">
        <f>IF(AND('Mapa final'!$AA$46="Muy Alta",'Mapa final'!$AC$46="Moderado"),CONCATENATE("R7C",'Mapa final'!$Q$46),"")</f>
        <v/>
      </c>
      <c r="W12" s="53" t="str">
        <f>IF(AND('Mapa final'!$AA$47="Muy Alta",'Mapa final'!$AC$47="Moderado"),CONCATENATE("R7C",'Mapa final'!$Q$47),"")</f>
        <v/>
      </c>
      <c r="X12" s="53" t="str">
        <f>IF(AND('Mapa final'!$AA$48="Muy Alta",'Mapa final'!$AC$48="Moderado"),CONCATENATE("R7C",'Mapa final'!$Q$48),"")</f>
        <v/>
      </c>
      <c r="Y12" s="53" t="str">
        <f>IF(AND('Mapa final'!$AA$49="Muy Alta",'Mapa final'!$AC$49="Moderado"),CONCATENATE("R7C",'Mapa final'!$Q$49),"")</f>
        <v/>
      </c>
      <c r="Z12" s="53" t="str">
        <f>IF(AND('Mapa final'!$AA$50="Muy Alta",'Mapa final'!$AC$50="Moderado"),CONCATENATE("R7C",'Mapa final'!$Q$50),"")</f>
        <v/>
      </c>
      <c r="AA12" s="54" t="str">
        <f>IF(AND('Mapa final'!$AA$51="Muy Alta",'Mapa final'!$AC$51="Moderado"),CONCATENATE("R7C",'Mapa final'!$Q$51),"")</f>
        <v/>
      </c>
      <c r="AB12" s="52" t="str">
        <f>IF(AND('Mapa final'!$AA$46="Muy Alta",'Mapa final'!$AC$46="Mayor"),CONCATENATE("R7C",'Mapa final'!$Q$46),"")</f>
        <v/>
      </c>
      <c r="AC12" s="53" t="str">
        <f>IF(AND('Mapa final'!$AA$47="Muy Alta",'Mapa final'!$AC$47="Mayor"),CONCATENATE("R7C",'Mapa final'!$Q$47),"")</f>
        <v/>
      </c>
      <c r="AD12" s="53" t="str">
        <f>IF(AND('Mapa final'!$AA$48="Muy Alta",'Mapa final'!$AC$48="Mayor"),CONCATENATE("R7C",'Mapa final'!$Q$48),"")</f>
        <v/>
      </c>
      <c r="AE12" s="53" t="str">
        <f>IF(AND('Mapa final'!$AA$49="Muy Alta",'Mapa final'!$AC$49="Mayor"),CONCATENATE("R7C",'Mapa final'!$Q$49),"")</f>
        <v/>
      </c>
      <c r="AF12" s="53" t="str">
        <f>IF(AND('Mapa final'!$AA$50="Muy Alta",'Mapa final'!$AC$50="Mayor"),CONCATENATE("R7C",'Mapa final'!$Q$50),"")</f>
        <v/>
      </c>
      <c r="AG12" s="54" t="str">
        <f>IF(AND('Mapa final'!$AA$51="Muy Alta",'Mapa final'!$AC$51="Mayor"),CONCATENATE("R7C",'Mapa final'!$Q$51),"")</f>
        <v/>
      </c>
      <c r="AH12" s="55" t="str">
        <f>IF(AND('Mapa final'!$AA$46="Muy Alta",'Mapa final'!$AC$46="Catastrófico"),CONCATENATE("R7C",'Mapa final'!$Q$46),"")</f>
        <v/>
      </c>
      <c r="AI12" s="56" t="str">
        <f>IF(AND('Mapa final'!$AA$47="Muy Alta",'Mapa final'!$AC$47="Catastrófico"),CONCATENATE("R7C",'Mapa final'!$Q$47),"")</f>
        <v/>
      </c>
      <c r="AJ12" s="56" t="str">
        <f>IF(AND('Mapa final'!$AA$48="Muy Alta",'Mapa final'!$AC$48="Catastrófico"),CONCATENATE("R7C",'Mapa final'!$Q$48),"")</f>
        <v/>
      </c>
      <c r="AK12" s="56" t="str">
        <f>IF(AND('Mapa final'!$AA$49="Muy Alta",'Mapa final'!$AC$49="Catastrófico"),CONCATENATE("R7C",'Mapa final'!$Q$49),"")</f>
        <v/>
      </c>
      <c r="AL12" s="56" t="str">
        <f>IF(AND('Mapa final'!$AA$50="Muy Alta",'Mapa final'!$AC$50="Catastrófico"),CONCATENATE("R7C",'Mapa final'!$Q$50),"")</f>
        <v/>
      </c>
      <c r="AM12" s="57" t="str">
        <f>IF(AND('Mapa final'!$AA$51="Muy Alta",'Mapa final'!$AC$51="Catastrófico"),CONCATENATE("R7C",'Mapa final'!$Q$51),"")</f>
        <v/>
      </c>
      <c r="AN12" s="83"/>
      <c r="AO12" s="348"/>
      <c r="AP12" s="349"/>
      <c r="AQ12" s="349"/>
      <c r="AR12" s="349"/>
      <c r="AS12" s="349"/>
      <c r="AT12" s="3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43"/>
      <c r="C13" s="243"/>
      <c r="D13" s="244"/>
      <c r="E13" s="342"/>
      <c r="F13" s="341"/>
      <c r="G13" s="341"/>
      <c r="H13" s="341"/>
      <c r="I13" s="357"/>
      <c r="J13" s="52" t="str">
        <f>IF(AND('Mapa final'!$AA$52="Muy Alta",'Mapa final'!$AC$52="Leve"),CONCATENATE("R8C",'Mapa final'!$Q$52),"")</f>
        <v/>
      </c>
      <c r="K13" s="53" t="str">
        <f>IF(AND('Mapa final'!$AA$53="Muy Alta",'Mapa final'!$AC$53="Leve"),CONCATENATE("R8C",'Mapa final'!$Q$53),"")</f>
        <v/>
      </c>
      <c r="L13" s="53" t="str">
        <f>IF(AND('Mapa final'!$AA$54="Muy Alta",'Mapa final'!$AC$54="Leve"),CONCATENATE("R8C",'Mapa final'!$Q$54),"")</f>
        <v/>
      </c>
      <c r="M13" s="53" t="str">
        <f>IF(AND('Mapa final'!$AA$55="Muy Alta",'Mapa final'!$AC$55="Leve"),CONCATENATE("R8C",'Mapa final'!$Q$55),"")</f>
        <v/>
      </c>
      <c r="N13" s="53" t="str">
        <f>IF(AND('Mapa final'!$AA$56="Muy Alta",'Mapa final'!$AC$56="Leve"),CONCATENATE("R8C",'Mapa final'!$Q$56),"")</f>
        <v/>
      </c>
      <c r="O13" s="54" t="str">
        <f>IF(AND('Mapa final'!$AA$57="Muy Alta",'Mapa final'!$AC$57="Leve"),CONCATENATE("R8C",'Mapa final'!$Q$57),"")</f>
        <v/>
      </c>
      <c r="P13" s="52" t="str">
        <f>IF(AND('Mapa final'!$AA$52="Muy Alta",'Mapa final'!$AC$52="Menor"),CONCATENATE("R8C",'Mapa final'!$Q$52),"")</f>
        <v/>
      </c>
      <c r="Q13" s="53" t="str">
        <f>IF(AND('Mapa final'!$AA$53="Muy Alta",'Mapa final'!$AC$53="Menor"),CONCATENATE("R8C",'Mapa final'!$Q$53),"")</f>
        <v/>
      </c>
      <c r="R13" s="53" t="str">
        <f>IF(AND('Mapa final'!$AA$54="Muy Alta",'Mapa final'!$AC$54="Menor"),CONCATENATE("R8C",'Mapa final'!$Q$54),"")</f>
        <v/>
      </c>
      <c r="S13" s="53" t="str">
        <f>IF(AND('Mapa final'!$AA$55="Muy Alta",'Mapa final'!$AC$55="Menor"),CONCATENATE("R8C",'Mapa final'!$Q$55),"")</f>
        <v/>
      </c>
      <c r="T13" s="53" t="str">
        <f>IF(AND('Mapa final'!$AA$56="Muy Alta",'Mapa final'!$AC$56="Menor"),CONCATENATE("R8C",'Mapa final'!$Q$56),"")</f>
        <v/>
      </c>
      <c r="U13" s="54" t="str">
        <f>IF(AND('Mapa final'!$AA$57="Muy Alta",'Mapa final'!$AC$57="Menor"),CONCATENATE("R8C",'Mapa final'!$Q$57),"")</f>
        <v/>
      </c>
      <c r="V13" s="52" t="str">
        <f>IF(AND('Mapa final'!$AA$52="Muy Alta",'Mapa final'!$AC$52="Moderado"),CONCATENATE("R8C",'Mapa final'!$Q$52),"")</f>
        <v/>
      </c>
      <c r="W13" s="53" t="str">
        <f>IF(AND('Mapa final'!$AA$53="Muy Alta",'Mapa final'!$AC$53="Moderado"),CONCATENATE("R8C",'Mapa final'!$Q$53),"")</f>
        <v/>
      </c>
      <c r="X13" s="53" t="str">
        <f>IF(AND('Mapa final'!$AA$54="Muy Alta",'Mapa final'!$AC$54="Moderado"),CONCATENATE("R8C",'Mapa final'!$Q$54),"")</f>
        <v/>
      </c>
      <c r="Y13" s="53" t="str">
        <f>IF(AND('Mapa final'!$AA$55="Muy Alta",'Mapa final'!$AC$55="Moderado"),CONCATENATE("R8C",'Mapa final'!$Q$55),"")</f>
        <v/>
      </c>
      <c r="Z13" s="53" t="str">
        <f>IF(AND('Mapa final'!$AA$56="Muy Alta",'Mapa final'!$AC$56="Moderado"),CONCATENATE("R8C",'Mapa final'!$Q$56),"")</f>
        <v/>
      </c>
      <c r="AA13" s="54" t="str">
        <f>IF(AND('Mapa final'!$AA$57="Muy Alta",'Mapa final'!$AC$57="Moderado"),CONCATENATE("R8C",'Mapa final'!$Q$57),"")</f>
        <v/>
      </c>
      <c r="AB13" s="52" t="str">
        <f>IF(AND('Mapa final'!$AA$52="Muy Alta",'Mapa final'!$AC$52="Mayor"),CONCATENATE("R8C",'Mapa final'!$Q$52),"")</f>
        <v/>
      </c>
      <c r="AC13" s="53" t="str">
        <f>IF(AND('Mapa final'!$AA$53="Muy Alta",'Mapa final'!$AC$53="Mayor"),CONCATENATE("R8C",'Mapa final'!$Q$53),"")</f>
        <v/>
      </c>
      <c r="AD13" s="53" t="str">
        <f>IF(AND('Mapa final'!$AA$54="Muy Alta",'Mapa final'!$AC$54="Mayor"),CONCATENATE("R8C",'Mapa final'!$Q$54),"")</f>
        <v/>
      </c>
      <c r="AE13" s="53" t="str">
        <f>IF(AND('Mapa final'!$AA$55="Muy Alta",'Mapa final'!$AC$55="Mayor"),CONCATENATE("R8C",'Mapa final'!$Q$55),"")</f>
        <v/>
      </c>
      <c r="AF13" s="53" t="str">
        <f>IF(AND('Mapa final'!$AA$56="Muy Alta",'Mapa final'!$AC$56="Mayor"),CONCATENATE("R8C",'Mapa final'!$Q$56),"")</f>
        <v/>
      </c>
      <c r="AG13" s="54" t="str">
        <f>IF(AND('Mapa final'!$AA$57="Muy Alta",'Mapa final'!$AC$57="Mayor"),CONCATENATE("R8C",'Mapa final'!$Q$57),"")</f>
        <v/>
      </c>
      <c r="AH13" s="55" t="str">
        <f>IF(AND('Mapa final'!$AA$52="Muy Alta",'Mapa final'!$AC$52="Catastrófico"),CONCATENATE("R8C",'Mapa final'!$Q$52),"")</f>
        <v/>
      </c>
      <c r="AI13" s="56" t="str">
        <f>IF(AND('Mapa final'!$AA$53="Muy Alta",'Mapa final'!$AC$53="Catastrófico"),CONCATENATE("R8C",'Mapa final'!$Q$53),"")</f>
        <v/>
      </c>
      <c r="AJ13" s="56" t="str">
        <f>IF(AND('Mapa final'!$AA$54="Muy Alta",'Mapa final'!$AC$54="Catastrófico"),CONCATENATE("R8C",'Mapa final'!$Q$54),"")</f>
        <v/>
      </c>
      <c r="AK13" s="56" t="str">
        <f>IF(AND('Mapa final'!$AA$55="Muy Alta",'Mapa final'!$AC$55="Catastrófico"),CONCATENATE("R8C",'Mapa final'!$Q$55),"")</f>
        <v/>
      </c>
      <c r="AL13" s="56" t="str">
        <f>IF(AND('Mapa final'!$AA$56="Muy Alta",'Mapa final'!$AC$56="Catastrófico"),CONCATENATE("R8C",'Mapa final'!$Q$56),"")</f>
        <v/>
      </c>
      <c r="AM13" s="57" t="str">
        <f>IF(AND('Mapa final'!$AA$57="Muy Alta",'Mapa final'!$AC$57="Catastrófico"),CONCATENATE("R8C",'Mapa final'!$Q$57),"")</f>
        <v/>
      </c>
      <c r="AN13" s="83"/>
      <c r="AO13" s="348"/>
      <c r="AP13" s="349"/>
      <c r="AQ13" s="349"/>
      <c r="AR13" s="349"/>
      <c r="AS13" s="349"/>
      <c r="AT13" s="3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43"/>
      <c r="C14" s="243"/>
      <c r="D14" s="244"/>
      <c r="E14" s="342"/>
      <c r="F14" s="341"/>
      <c r="G14" s="341"/>
      <c r="H14" s="341"/>
      <c r="I14" s="357"/>
      <c r="J14" s="52" t="str">
        <f>IF(AND('Mapa final'!$AA$58="Muy Alta",'Mapa final'!$AC$58="Leve"),CONCATENATE("R9C",'Mapa final'!$Q$58),"")</f>
        <v/>
      </c>
      <c r="K14" s="53" t="str">
        <f>IF(AND('Mapa final'!$AA$59="Muy Alta",'Mapa final'!$AC$59="Leve"),CONCATENATE("R9C",'Mapa final'!$Q$59),"")</f>
        <v/>
      </c>
      <c r="L14" s="53" t="str">
        <f>IF(AND('Mapa final'!$AA$60="Muy Alta",'Mapa final'!$AC$60="Leve"),CONCATENATE("R9C",'Mapa final'!$Q$60),"")</f>
        <v/>
      </c>
      <c r="M14" s="53" t="str">
        <f>IF(AND('Mapa final'!$AA$61="Muy Alta",'Mapa final'!$AC$61="Leve"),CONCATENATE("R9C",'Mapa final'!$Q$61),"")</f>
        <v/>
      </c>
      <c r="N14" s="53" t="str">
        <f>IF(AND('Mapa final'!$AA$62="Muy Alta",'Mapa final'!$AC$62="Leve"),CONCATENATE("R9C",'Mapa final'!$Q$62),"")</f>
        <v/>
      </c>
      <c r="O14" s="54" t="str">
        <f>IF(AND('Mapa final'!$AA$63="Muy Alta",'Mapa final'!$AC$63="Leve"),CONCATENATE("R9C",'Mapa final'!$Q$63),"")</f>
        <v/>
      </c>
      <c r="P14" s="52" t="str">
        <f>IF(AND('Mapa final'!$AA$58="Muy Alta",'Mapa final'!$AC$58="Menor"),CONCATENATE("R9C",'Mapa final'!$Q$58),"")</f>
        <v/>
      </c>
      <c r="Q14" s="53" t="str">
        <f>IF(AND('Mapa final'!$AA$59="Muy Alta",'Mapa final'!$AC$59="Menor"),CONCATENATE("R9C",'Mapa final'!$Q$59),"")</f>
        <v/>
      </c>
      <c r="R14" s="53" t="str">
        <f>IF(AND('Mapa final'!$AA$60="Muy Alta",'Mapa final'!$AC$60="Menor"),CONCATENATE("R9C",'Mapa final'!$Q$60),"")</f>
        <v/>
      </c>
      <c r="S14" s="53" t="str">
        <f>IF(AND('Mapa final'!$AA$61="Muy Alta",'Mapa final'!$AC$61="Menor"),CONCATENATE("R9C",'Mapa final'!$Q$61),"")</f>
        <v/>
      </c>
      <c r="T14" s="53" t="str">
        <f>IF(AND('Mapa final'!$AA$62="Muy Alta",'Mapa final'!$AC$62="Menor"),CONCATENATE("R9C",'Mapa final'!$Q$62),"")</f>
        <v/>
      </c>
      <c r="U14" s="54" t="str">
        <f>IF(AND('Mapa final'!$AA$63="Muy Alta",'Mapa final'!$AC$63="Menor"),CONCATENATE("R9C",'Mapa final'!$Q$63),"")</f>
        <v/>
      </c>
      <c r="V14" s="52" t="str">
        <f>IF(AND('Mapa final'!$AA$58="Muy Alta",'Mapa final'!$AC$58="Moderado"),CONCATENATE("R9C",'Mapa final'!$Q$58),"")</f>
        <v/>
      </c>
      <c r="W14" s="53" t="str">
        <f>IF(AND('Mapa final'!$AA$59="Muy Alta",'Mapa final'!$AC$59="Moderado"),CONCATENATE("R9C",'Mapa final'!$Q$59),"")</f>
        <v/>
      </c>
      <c r="X14" s="53" t="str">
        <f>IF(AND('Mapa final'!$AA$60="Muy Alta",'Mapa final'!$AC$60="Moderado"),CONCATENATE("R9C",'Mapa final'!$Q$60),"")</f>
        <v/>
      </c>
      <c r="Y14" s="53" t="str">
        <f>IF(AND('Mapa final'!$AA$61="Muy Alta",'Mapa final'!$AC$61="Moderado"),CONCATENATE("R9C",'Mapa final'!$Q$61),"")</f>
        <v/>
      </c>
      <c r="Z14" s="53" t="str">
        <f>IF(AND('Mapa final'!$AA$62="Muy Alta",'Mapa final'!$AC$62="Moderado"),CONCATENATE("R9C",'Mapa final'!$Q$62),"")</f>
        <v/>
      </c>
      <c r="AA14" s="54" t="str">
        <f>IF(AND('Mapa final'!$AA$63="Muy Alta",'Mapa final'!$AC$63="Moderado"),CONCATENATE("R9C",'Mapa final'!$Q$63),"")</f>
        <v/>
      </c>
      <c r="AB14" s="52" t="str">
        <f>IF(AND('Mapa final'!$AA$58="Muy Alta",'Mapa final'!$AC$58="Mayor"),CONCATENATE("R9C",'Mapa final'!$Q$58),"")</f>
        <v/>
      </c>
      <c r="AC14" s="53" t="str">
        <f>IF(AND('Mapa final'!$AA$59="Muy Alta",'Mapa final'!$AC$59="Mayor"),CONCATENATE("R9C",'Mapa final'!$Q$59),"")</f>
        <v/>
      </c>
      <c r="AD14" s="53" t="str">
        <f>IF(AND('Mapa final'!$AA$60="Muy Alta",'Mapa final'!$AC$60="Mayor"),CONCATENATE("R9C",'Mapa final'!$Q$60),"")</f>
        <v/>
      </c>
      <c r="AE14" s="53" t="str">
        <f>IF(AND('Mapa final'!$AA$61="Muy Alta",'Mapa final'!$AC$61="Mayor"),CONCATENATE("R9C",'Mapa final'!$Q$61),"")</f>
        <v/>
      </c>
      <c r="AF14" s="53" t="str">
        <f>IF(AND('Mapa final'!$AA$62="Muy Alta",'Mapa final'!$AC$62="Mayor"),CONCATENATE("R9C",'Mapa final'!$Q$62),"")</f>
        <v/>
      </c>
      <c r="AG14" s="54" t="str">
        <f>IF(AND('Mapa final'!$AA$63="Muy Alta",'Mapa final'!$AC$63="Mayor"),CONCATENATE("R9C",'Mapa final'!$Q$63),"")</f>
        <v/>
      </c>
      <c r="AH14" s="55" t="str">
        <f>IF(AND('Mapa final'!$AA$58="Muy Alta",'Mapa final'!$AC$58="Catastrófico"),CONCATENATE("R9C",'Mapa final'!$Q$58),"")</f>
        <v/>
      </c>
      <c r="AI14" s="56" t="str">
        <f>IF(AND('Mapa final'!$AA$59="Muy Alta",'Mapa final'!$AC$59="Catastrófico"),CONCATENATE("R9C",'Mapa final'!$Q$59),"")</f>
        <v/>
      </c>
      <c r="AJ14" s="56" t="str">
        <f>IF(AND('Mapa final'!$AA$60="Muy Alta",'Mapa final'!$AC$60="Catastrófico"),CONCATENATE("R9C",'Mapa final'!$Q$60),"")</f>
        <v/>
      </c>
      <c r="AK14" s="56" t="str">
        <f>IF(AND('Mapa final'!$AA$61="Muy Alta",'Mapa final'!$AC$61="Catastrófico"),CONCATENATE("R9C",'Mapa final'!$Q$61),"")</f>
        <v/>
      </c>
      <c r="AL14" s="56" t="str">
        <f>IF(AND('Mapa final'!$AA$62="Muy Alta",'Mapa final'!$AC$62="Catastrófico"),CONCATENATE("R9C",'Mapa final'!$Q$62),"")</f>
        <v/>
      </c>
      <c r="AM14" s="57" t="str">
        <f>IF(AND('Mapa final'!$AA$63="Muy Alta",'Mapa final'!$AC$63="Catastrófico"),CONCATENATE("R9C",'Mapa final'!$Q$63),"")</f>
        <v/>
      </c>
      <c r="AN14" s="83"/>
      <c r="AO14" s="348"/>
      <c r="AP14" s="349"/>
      <c r="AQ14" s="349"/>
      <c r="AR14" s="349"/>
      <c r="AS14" s="349"/>
      <c r="AT14" s="3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43"/>
      <c r="C15" s="243"/>
      <c r="D15" s="244"/>
      <c r="E15" s="343"/>
      <c r="F15" s="344"/>
      <c r="G15" s="344"/>
      <c r="H15" s="344"/>
      <c r="I15" s="358"/>
      <c r="J15" s="58" t="str">
        <f>IF(AND('Mapa final'!$AA$64="Muy Alta",'Mapa final'!$AC$64="Leve"),CONCATENATE("R10C",'Mapa final'!$Q$64),"")</f>
        <v/>
      </c>
      <c r="K15" s="59" t="str">
        <f>IF(AND('Mapa final'!$AA$65="Muy Alta",'Mapa final'!$AC$65="Leve"),CONCATENATE("R10C",'Mapa final'!$Q$65),"")</f>
        <v/>
      </c>
      <c r="L15" s="59" t="str">
        <f>IF(AND('Mapa final'!$AA$66="Muy Alta",'Mapa final'!$AC$66="Leve"),CONCATENATE("R10C",'Mapa final'!$Q$66),"")</f>
        <v/>
      </c>
      <c r="M15" s="59" t="str">
        <f>IF(AND('Mapa final'!$AA$67="Muy Alta",'Mapa final'!$AC$67="Leve"),CONCATENATE("R10C",'Mapa final'!$Q$67),"")</f>
        <v/>
      </c>
      <c r="N15" s="59" t="str">
        <f>IF(AND('Mapa final'!$AA$68="Muy Alta",'Mapa final'!$AC$68="Leve"),CONCATENATE("R10C",'Mapa final'!$Q$68),"")</f>
        <v/>
      </c>
      <c r="O15" s="60" t="str">
        <f>IF(AND('Mapa final'!$AA$69="Muy Alta",'Mapa final'!$AC$69="Leve"),CONCATENATE("R10C",'Mapa final'!$Q$69),"")</f>
        <v/>
      </c>
      <c r="P15" s="52" t="str">
        <f>IF(AND('Mapa final'!$AA$64="Muy Alta",'Mapa final'!$AC$64="Menor"),CONCATENATE("R10C",'Mapa final'!$Q$64),"")</f>
        <v/>
      </c>
      <c r="Q15" s="53" t="str">
        <f>IF(AND('Mapa final'!$AA$65="Muy Alta",'Mapa final'!$AC$65="Menor"),CONCATENATE("R10C",'Mapa final'!$Q$65),"")</f>
        <v/>
      </c>
      <c r="R15" s="53" t="str">
        <f>IF(AND('Mapa final'!$AA$66="Muy Alta",'Mapa final'!$AC$66="Menor"),CONCATENATE("R10C",'Mapa final'!$Q$66),"")</f>
        <v/>
      </c>
      <c r="S15" s="53" t="str">
        <f>IF(AND('Mapa final'!$AA$67="Muy Alta",'Mapa final'!$AC$67="Menor"),CONCATENATE("R10C",'Mapa final'!$Q$67),"")</f>
        <v/>
      </c>
      <c r="T15" s="53" t="str">
        <f>IF(AND('Mapa final'!$AA$68="Muy Alta",'Mapa final'!$AC$68="Menor"),CONCATENATE("R10C",'Mapa final'!$Q$68),"")</f>
        <v/>
      </c>
      <c r="U15" s="54" t="str">
        <f>IF(AND('Mapa final'!$AA$69="Muy Alta",'Mapa final'!$AC$69="Menor"),CONCATENATE("R10C",'Mapa final'!$Q$69),"")</f>
        <v/>
      </c>
      <c r="V15" s="58" t="str">
        <f>IF(AND('Mapa final'!$AA$64="Muy Alta",'Mapa final'!$AC$64="Moderado"),CONCATENATE("R10C",'Mapa final'!$Q$64),"")</f>
        <v/>
      </c>
      <c r="W15" s="59" t="str">
        <f>IF(AND('Mapa final'!$AA$65="Muy Alta",'Mapa final'!$AC$65="Moderado"),CONCATENATE("R10C",'Mapa final'!$Q$65),"")</f>
        <v/>
      </c>
      <c r="X15" s="59" t="str">
        <f>IF(AND('Mapa final'!$AA$66="Muy Alta",'Mapa final'!$AC$66="Moderado"),CONCATENATE("R10C",'Mapa final'!$Q$66),"")</f>
        <v/>
      </c>
      <c r="Y15" s="59" t="str">
        <f>IF(AND('Mapa final'!$AA$67="Muy Alta",'Mapa final'!$AC$67="Moderado"),CONCATENATE("R10C",'Mapa final'!$Q$67),"")</f>
        <v/>
      </c>
      <c r="Z15" s="59" t="str">
        <f>IF(AND('Mapa final'!$AA$68="Muy Alta",'Mapa final'!$AC$68="Moderado"),CONCATENATE("R10C",'Mapa final'!$Q$68),"")</f>
        <v/>
      </c>
      <c r="AA15" s="60" t="str">
        <f>IF(AND('Mapa final'!$AA$69="Muy Alta",'Mapa final'!$AC$69="Moderado"),CONCATENATE("R10C",'Mapa final'!$Q$69),"")</f>
        <v/>
      </c>
      <c r="AB15" s="52" t="str">
        <f>IF(AND('Mapa final'!$AA$64="Muy Alta",'Mapa final'!$AC$64="Mayor"),CONCATENATE("R10C",'Mapa final'!$Q$64),"")</f>
        <v/>
      </c>
      <c r="AC15" s="53" t="str">
        <f>IF(AND('Mapa final'!$AA$65="Muy Alta",'Mapa final'!$AC$65="Mayor"),CONCATENATE("R10C",'Mapa final'!$Q$65),"")</f>
        <v/>
      </c>
      <c r="AD15" s="53" t="str">
        <f>IF(AND('Mapa final'!$AA$66="Muy Alta",'Mapa final'!$AC$66="Mayor"),CONCATENATE("R10C",'Mapa final'!$Q$66),"")</f>
        <v/>
      </c>
      <c r="AE15" s="53" t="str">
        <f>IF(AND('Mapa final'!$AA$67="Muy Alta",'Mapa final'!$AC$67="Mayor"),CONCATENATE("R10C",'Mapa final'!$Q$67),"")</f>
        <v/>
      </c>
      <c r="AF15" s="53" t="str">
        <f>IF(AND('Mapa final'!$AA$68="Muy Alta",'Mapa final'!$AC$68="Mayor"),CONCATENATE("R10C",'Mapa final'!$Q$68),"")</f>
        <v/>
      </c>
      <c r="AG15" s="54" t="str">
        <f>IF(AND('Mapa final'!$AA$69="Muy Alta",'Mapa final'!$AC$69="Mayor"),CONCATENATE("R10C",'Mapa final'!$Q$69),"")</f>
        <v/>
      </c>
      <c r="AH15" s="61" t="str">
        <f>IF(AND('Mapa final'!$AA$64="Muy Alta",'Mapa final'!$AC$64="Catastrófico"),CONCATENATE("R10C",'Mapa final'!$Q$64),"")</f>
        <v/>
      </c>
      <c r="AI15" s="62" t="str">
        <f>IF(AND('Mapa final'!$AA$65="Muy Alta",'Mapa final'!$AC$65="Catastrófico"),CONCATENATE("R10C",'Mapa final'!$Q$65),"")</f>
        <v/>
      </c>
      <c r="AJ15" s="62" t="str">
        <f>IF(AND('Mapa final'!$AA$66="Muy Alta",'Mapa final'!$AC$66="Catastrófico"),CONCATENATE("R10C",'Mapa final'!$Q$66),"")</f>
        <v/>
      </c>
      <c r="AK15" s="62" t="str">
        <f>IF(AND('Mapa final'!$AA$67="Muy Alta",'Mapa final'!$AC$67="Catastrófico"),CONCATENATE("R10C",'Mapa final'!$Q$67),"")</f>
        <v/>
      </c>
      <c r="AL15" s="62" t="str">
        <f>IF(AND('Mapa final'!$AA$68="Muy Alta",'Mapa final'!$AC$68="Catastrófico"),CONCATENATE("R10C",'Mapa final'!$Q$68),"")</f>
        <v/>
      </c>
      <c r="AM15" s="63" t="str">
        <f>IF(AND('Mapa final'!$AA$69="Muy Alta",'Mapa final'!$AC$69="Catastrófico"),CONCATENATE("R10C",'Mapa final'!$Q$69),"")</f>
        <v/>
      </c>
      <c r="AN15" s="83"/>
      <c r="AO15" s="351"/>
      <c r="AP15" s="352"/>
      <c r="AQ15" s="352"/>
      <c r="AR15" s="352"/>
      <c r="AS15" s="352"/>
      <c r="AT15" s="3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43"/>
      <c r="C16" s="243"/>
      <c r="D16" s="244"/>
      <c r="E16" s="338" t="s">
        <v>115</v>
      </c>
      <c r="F16" s="339"/>
      <c r="G16" s="339"/>
      <c r="H16" s="339"/>
      <c r="I16" s="339"/>
      <c r="J16" s="64" t="str">
        <f>IF(AND('Mapa final'!$AA$10="Alta",'Mapa final'!$AC$10="Leve"),CONCATENATE("R1C",'Mapa final'!$Q$10),"")</f>
        <v/>
      </c>
      <c r="K16" s="65" t="str">
        <f>IF(AND('Mapa final'!$AA$11="Alta",'Mapa final'!$AC$11="Leve"),CONCATENATE("R1C",'Mapa final'!$Q$11),"")</f>
        <v/>
      </c>
      <c r="L16" s="65" t="str">
        <f>IF(AND('Mapa final'!$AA$12="Alta",'Mapa final'!$AC$12="Leve"),CONCATENATE("R1C",'Mapa final'!$Q$12),"")</f>
        <v/>
      </c>
      <c r="M16" s="65" t="str">
        <f>IF(AND('Mapa final'!$AA$13="Alta",'Mapa final'!$AC$13="Leve"),CONCATENATE("R1C",'Mapa final'!$Q$13),"")</f>
        <v/>
      </c>
      <c r="N16" s="65" t="str">
        <f>IF(AND('Mapa final'!$AA$14="Alta",'Mapa final'!$AC$14="Leve"),CONCATENATE("R1C",'Mapa final'!$Q$14),"")</f>
        <v/>
      </c>
      <c r="O16" s="66" t="str">
        <f>IF(AND('Mapa final'!$AA$15="Alta",'Mapa final'!$AC$15="Leve"),CONCATENATE("R1C",'Mapa final'!$Q$15),"")</f>
        <v/>
      </c>
      <c r="P16" s="64" t="str">
        <f>IF(AND('Mapa final'!$AA$10="Alta",'Mapa final'!$AC$10="Menor"),CONCATENATE("R1C",'Mapa final'!$Q$10),"")</f>
        <v/>
      </c>
      <c r="Q16" s="65" t="str">
        <f>IF(AND('Mapa final'!$AA$11="Alta",'Mapa final'!$AC$11="Menor"),CONCATENATE("R1C",'Mapa final'!$Q$11),"")</f>
        <v/>
      </c>
      <c r="R16" s="65" t="str">
        <f>IF(AND('Mapa final'!$AA$12="Alta",'Mapa final'!$AC$12="Menor"),CONCATENATE("R1C",'Mapa final'!$Q$12),"")</f>
        <v/>
      </c>
      <c r="S16" s="65" t="str">
        <f>IF(AND('Mapa final'!$AA$13="Alta",'Mapa final'!$AC$13="Menor"),CONCATENATE("R1C",'Mapa final'!$Q$13),"")</f>
        <v/>
      </c>
      <c r="T16" s="65" t="str">
        <f>IF(AND('Mapa final'!$AA$14="Alta",'Mapa final'!$AC$14="Menor"),CONCATENATE("R1C",'Mapa final'!$Q$14),"")</f>
        <v/>
      </c>
      <c r="U16" s="66" t="str">
        <f>IF(AND('Mapa final'!$AA$15="Alta",'Mapa final'!$AC$15="Menor"),CONCATENATE("R1C",'Mapa final'!$Q$15),"")</f>
        <v/>
      </c>
      <c r="V16" s="46" t="str">
        <f>IF(AND('Mapa final'!$AA$10="Alta",'Mapa final'!$AC$10="Moderado"),CONCATENATE("R1C",'Mapa final'!$Q$10),"")</f>
        <v/>
      </c>
      <c r="W16" s="47" t="str">
        <f>IF(AND('Mapa final'!$AA$11="Alta",'Mapa final'!$AC$11="Moderado"),CONCATENATE("R1C",'Mapa final'!$Q$11),"")</f>
        <v/>
      </c>
      <c r="X16" s="47" t="str">
        <f>IF(AND('Mapa final'!$AA$12="Alta",'Mapa final'!$AC$12="Moderado"),CONCATENATE("R1C",'Mapa final'!$Q$12),"")</f>
        <v/>
      </c>
      <c r="Y16" s="47" t="str">
        <f>IF(AND('Mapa final'!$AA$13="Alta",'Mapa final'!$AC$13="Moderado"),CONCATENATE("R1C",'Mapa final'!$Q$13),"")</f>
        <v/>
      </c>
      <c r="Z16" s="47" t="str">
        <f>IF(AND('Mapa final'!$AA$14="Alta",'Mapa final'!$AC$14="Moderado"),CONCATENATE("R1C",'Mapa final'!$Q$14),"")</f>
        <v/>
      </c>
      <c r="AA16" s="48" t="str">
        <f>IF(AND('Mapa final'!$AA$15="Alta",'Mapa final'!$AC$15="Moderado"),CONCATENATE("R1C",'Mapa final'!$Q$15),"")</f>
        <v/>
      </c>
      <c r="AB16" s="46" t="str">
        <f>IF(AND('Mapa final'!$AA$10="Alta",'Mapa final'!$AC$10="Mayor"),CONCATENATE("R1C",'Mapa final'!$Q$10),"")</f>
        <v/>
      </c>
      <c r="AC16" s="47" t="str">
        <f>IF(AND('Mapa final'!$AA$11="Alta",'Mapa final'!$AC$11="Mayor"),CONCATENATE("R1C",'Mapa final'!$Q$11),"")</f>
        <v/>
      </c>
      <c r="AD16" s="47" t="str">
        <f>IF(AND('Mapa final'!$AA$12="Alta",'Mapa final'!$AC$12="Mayor"),CONCATENATE("R1C",'Mapa final'!$Q$12),"")</f>
        <v/>
      </c>
      <c r="AE16" s="47" t="str">
        <f>IF(AND('Mapa final'!$AA$13="Alta",'Mapa final'!$AC$13="Mayor"),CONCATENATE("R1C",'Mapa final'!$Q$13),"")</f>
        <v/>
      </c>
      <c r="AF16" s="47" t="str">
        <f>IF(AND('Mapa final'!$AA$14="Alta",'Mapa final'!$AC$14="Mayor"),CONCATENATE("R1C",'Mapa final'!$Q$14),"")</f>
        <v/>
      </c>
      <c r="AG16" s="48" t="str">
        <f>IF(AND('Mapa final'!$AA$15="Alta",'Mapa final'!$AC$15="Mayor"),CONCATENATE("R1C",'Mapa final'!$Q$15),"")</f>
        <v/>
      </c>
      <c r="AH16" s="49" t="str">
        <f>IF(AND('Mapa final'!$AA$10="Alta",'Mapa final'!$AC$10="Catastrófico"),CONCATENATE("R1C",'Mapa final'!$Q$10),"")</f>
        <v/>
      </c>
      <c r="AI16" s="50" t="str">
        <f>IF(AND('Mapa final'!$AA$11="Alta",'Mapa final'!$AC$11="Catastrófico"),CONCATENATE("R1C",'Mapa final'!$Q$11),"")</f>
        <v/>
      </c>
      <c r="AJ16" s="50" t="str">
        <f>IF(AND('Mapa final'!$AA$12="Alta",'Mapa final'!$AC$12="Catastrófico"),CONCATENATE("R1C",'Mapa final'!$Q$12),"")</f>
        <v/>
      </c>
      <c r="AK16" s="50" t="str">
        <f>IF(AND('Mapa final'!$AA$13="Alta",'Mapa final'!$AC$13="Catastrófico"),CONCATENATE("R1C",'Mapa final'!$Q$13),"")</f>
        <v/>
      </c>
      <c r="AL16" s="50" t="str">
        <f>IF(AND('Mapa final'!$AA$14="Alta",'Mapa final'!$AC$14="Catastrófico"),CONCATENATE("R1C",'Mapa final'!$Q$14),"")</f>
        <v/>
      </c>
      <c r="AM16" s="51" t="str">
        <f>IF(AND('Mapa final'!$AA$15="Alta",'Mapa final'!$AC$15="Catastrófico"),CONCATENATE("R1C",'Mapa final'!$Q$15),"")</f>
        <v/>
      </c>
      <c r="AN16" s="83"/>
      <c r="AO16" s="329" t="s">
        <v>80</v>
      </c>
      <c r="AP16" s="330"/>
      <c r="AQ16" s="330"/>
      <c r="AR16" s="330"/>
      <c r="AS16" s="330"/>
      <c r="AT16" s="33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43"/>
      <c r="C17" s="243"/>
      <c r="D17" s="244"/>
      <c r="E17" s="340"/>
      <c r="F17" s="341"/>
      <c r="G17" s="341"/>
      <c r="H17" s="341"/>
      <c r="I17" s="341"/>
      <c r="J17" s="67" t="str">
        <f>IF(AND('Mapa final'!$AA$16="Alta",'Mapa final'!$AC$16="Leve"),CONCATENATE("R2C",'Mapa final'!$Q$16),"")</f>
        <v/>
      </c>
      <c r="K17" s="68" t="str">
        <f>IF(AND('Mapa final'!$AA$17="Alta",'Mapa final'!$AC$17="Leve"),CONCATENATE("R2C",'Mapa final'!$Q$17),"")</f>
        <v/>
      </c>
      <c r="L17" s="68" t="str">
        <f>IF(AND('Mapa final'!$AA$18="Alta",'Mapa final'!$AC$18="Leve"),CONCATENATE("R2C",'Mapa final'!$Q$18),"")</f>
        <v/>
      </c>
      <c r="M17" s="68" t="str">
        <f>IF(AND('Mapa final'!$AA$19="Alta",'Mapa final'!$AC$19="Leve"),CONCATENATE("R2C",'Mapa final'!$Q$19),"")</f>
        <v/>
      </c>
      <c r="N17" s="68" t="str">
        <f>IF(AND('Mapa final'!$AA$20="Alta",'Mapa final'!$AC$20="Leve"),CONCATENATE("R2C",'Mapa final'!$Q$20),"")</f>
        <v/>
      </c>
      <c r="O17" s="69" t="str">
        <f>IF(AND('Mapa final'!$AA$21="Alta",'Mapa final'!$AC$21="Leve"),CONCATENATE("R2C",'Mapa final'!$Q$21),"")</f>
        <v/>
      </c>
      <c r="P17" s="67" t="str">
        <f>IF(AND('Mapa final'!$AA$16="Alta",'Mapa final'!$AC$16="Menor"),CONCATENATE("R2C",'Mapa final'!$Q$16),"")</f>
        <v/>
      </c>
      <c r="Q17" s="68" t="str">
        <f>IF(AND('Mapa final'!$AA$17="Alta",'Mapa final'!$AC$17="Menor"),CONCATENATE("R2C",'Mapa final'!$Q$17),"")</f>
        <v/>
      </c>
      <c r="R17" s="68" t="str">
        <f>IF(AND('Mapa final'!$AA$18="Alta",'Mapa final'!$AC$18="Menor"),CONCATENATE("R2C",'Mapa final'!$Q$18),"")</f>
        <v/>
      </c>
      <c r="S17" s="68" t="str">
        <f>IF(AND('Mapa final'!$AA$19="Alta",'Mapa final'!$AC$19="Menor"),CONCATENATE("R2C",'Mapa final'!$Q$19),"")</f>
        <v/>
      </c>
      <c r="T17" s="68" t="str">
        <f>IF(AND('Mapa final'!$AA$20="Alta",'Mapa final'!$AC$20="Menor"),CONCATENATE("R2C",'Mapa final'!$Q$20),"")</f>
        <v/>
      </c>
      <c r="U17" s="69" t="str">
        <f>IF(AND('Mapa final'!$AA$21="Alta",'Mapa final'!$AC$21="Menor"),CONCATENATE("R2C",'Mapa final'!$Q$21),"")</f>
        <v/>
      </c>
      <c r="V17" s="52" t="str">
        <f>IF(AND('Mapa final'!$AA$16="Alta",'Mapa final'!$AC$16="Moderado"),CONCATENATE("R2C",'Mapa final'!$Q$16),"")</f>
        <v/>
      </c>
      <c r="W17" s="53" t="str">
        <f>IF(AND('Mapa final'!$AA$17="Alta",'Mapa final'!$AC$17="Moderado"),CONCATENATE("R2C",'Mapa final'!$Q$17),"")</f>
        <v/>
      </c>
      <c r="X17" s="53" t="str">
        <f>IF(AND('Mapa final'!$AA$18="Alta",'Mapa final'!$AC$18="Moderado"),CONCATENATE("R2C",'Mapa final'!$Q$18),"")</f>
        <v/>
      </c>
      <c r="Y17" s="53" t="str">
        <f>IF(AND('Mapa final'!$AA$19="Alta",'Mapa final'!$AC$19="Moderado"),CONCATENATE("R2C",'Mapa final'!$Q$19),"")</f>
        <v/>
      </c>
      <c r="Z17" s="53" t="str">
        <f>IF(AND('Mapa final'!$AA$20="Alta",'Mapa final'!$AC$20="Moderado"),CONCATENATE("R2C",'Mapa final'!$Q$20),"")</f>
        <v/>
      </c>
      <c r="AA17" s="54" t="str">
        <f>IF(AND('Mapa final'!$AA$21="Alta",'Mapa final'!$AC$21="Moderado"),CONCATENATE("R2C",'Mapa final'!$Q$21),"")</f>
        <v/>
      </c>
      <c r="AB17" s="52" t="str">
        <f>IF(AND('Mapa final'!$AA$16="Alta",'Mapa final'!$AC$16="Mayor"),CONCATENATE("R2C",'Mapa final'!$Q$16),"")</f>
        <v/>
      </c>
      <c r="AC17" s="53" t="str">
        <f>IF(AND('Mapa final'!$AA$17="Alta",'Mapa final'!$AC$17="Mayor"),CONCATENATE("R2C",'Mapa final'!$Q$17),"")</f>
        <v/>
      </c>
      <c r="AD17" s="53" t="str">
        <f>IF(AND('Mapa final'!$AA$18="Alta",'Mapa final'!$AC$18="Mayor"),CONCATENATE("R2C",'Mapa final'!$Q$18),"")</f>
        <v/>
      </c>
      <c r="AE17" s="53" t="str">
        <f>IF(AND('Mapa final'!$AA$19="Alta",'Mapa final'!$AC$19="Mayor"),CONCATENATE("R2C",'Mapa final'!$Q$19),"")</f>
        <v/>
      </c>
      <c r="AF17" s="53" t="str">
        <f>IF(AND('Mapa final'!$AA$20="Alta",'Mapa final'!$AC$20="Mayor"),CONCATENATE("R2C",'Mapa final'!$Q$20),"")</f>
        <v/>
      </c>
      <c r="AG17" s="54" t="str">
        <f>IF(AND('Mapa final'!$AA$21="Alta",'Mapa final'!$AC$21="Mayor"),CONCATENATE("R2C",'Mapa final'!$Q$21),"")</f>
        <v/>
      </c>
      <c r="AH17" s="55" t="str">
        <f>IF(AND('Mapa final'!$AA$16="Alta",'Mapa final'!$AC$16="Catastrófico"),CONCATENATE("R2C",'Mapa final'!$Q$16),"")</f>
        <v/>
      </c>
      <c r="AI17" s="56" t="str">
        <f>IF(AND('Mapa final'!$AA$17="Alta",'Mapa final'!$AC$17="Catastrófico"),CONCATENATE("R2C",'Mapa final'!$Q$17),"")</f>
        <v/>
      </c>
      <c r="AJ17" s="56" t="str">
        <f>IF(AND('Mapa final'!$AA$18="Alta",'Mapa final'!$AC$18="Catastrófico"),CONCATENATE("R2C",'Mapa final'!$Q$18),"")</f>
        <v/>
      </c>
      <c r="AK17" s="56" t="str">
        <f>IF(AND('Mapa final'!$AA$19="Alta",'Mapa final'!$AC$19="Catastrófico"),CONCATENATE("R2C",'Mapa final'!$Q$19),"")</f>
        <v/>
      </c>
      <c r="AL17" s="56" t="str">
        <f>IF(AND('Mapa final'!$AA$20="Alta",'Mapa final'!$AC$20="Catastrófico"),CONCATENATE("R2C",'Mapa final'!$Q$20),"")</f>
        <v/>
      </c>
      <c r="AM17" s="57" t="str">
        <f>IF(AND('Mapa final'!$AA$21="Alta",'Mapa final'!$AC$21="Catastrófico"),CONCATENATE("R2C",'Mapa final'!$Q$21),"")</f>
        <v/>
      </c>
      <c r="AN17" s="83"/>
      <c r="AO17" s="332"/>
      <c r="AP17" s="333"/>
      <c r="AQ17" s="333"/>
      <c r="AR17" s="333"/>
      <c r="AS17" s="333"/>
      <c r="AT17" s="33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43"/>
      <c r="C18" s="243"/>
      <c r="D18" s="244"/>
      <c r="E18" s="342"/>
      <c r="F18" s="341"/>
      <c r="G18" s="341"/>
      <c r="H18" s="341"/>
      <c r="I18" s="341"/>
      <c r="J18" s="67" t="str">
        <f>IF(AND('Mapa final'!$AA$22="Alta",'Mapa final'!$AC$22="Leve"),CONCATENATE("R3C",'Mapa final'!$Q$22),"")</f>
        <v/>
      </c>
      <c r="K18" s="68" t="str">
        <f>IF(AND('Mapa final'!$AA$23="Alta",'Mapa final'!$AC$23="Leve"),CONCATENATE("R3C",'Mapa final'!$Q$23),"")</f>
        <v/>
      </c>
      <c r="L18" s="68" t="str">
        <f>IF(AND('Mapa final'!$AA$24="Alta",'Mapa final'!$AC$24="Leve"),CONCATENATE("R3C",'Mapa final'!$Q$24),"")</f>
        <v/>
      </c>
      <c r="M18" s="68" t="str">
        <f>IF(AND('Mapa final'!$AA$25="Alta",'Mapa final'!$AC$25="Leve"),CONCATENATE("R3C",'Mapa final'!$Q$25),"")</f>
        <v/>
      </c>
      <c r="N18" s="68" t="str">
        <f>IF(AND('Mapa final'!$AA$26="Alta",'Mapa final'!$AC$26="Leve"),CONCATENATE("R3C",'Mapa final'!$Q$26),"")</f>
        <v/>
      </c>
      <c r="O18" s="69" t="str">
        <f>IF(AND('Mapa final'!$AA$27="Alta",'Mapa final'!$AC$27="Leve"),CONCATENATE("R3C",'Mapa final'!$Q$27),"")</f>
        <v/>
      </c>
      <c r="P18" s="67" t="str">
        <f>IF(AND('Mapa final'!$AA$22="Alta",'Mapa final'!$AC$22="Menor"),CONCATENATE("R3C",'Mapa final'!$Q$22),"")</f>
        <v/>
      </c>
      <c r="Q18" s="68" t="str">
        <f>IF(AND('Mapa final'!$AA$23="Alta",'Mapa final'!$AC$23="Menor"),CONCATENATE("R3C",'Mapa final'!$Q$23),"")</f>
        <v/>
      </c>
      <c r="R18" s="68" t="str">
        <f>IF(AND('Mapa final'!$AA$24="Alta",'Mapa final'!$AC$24="Menor"),CONCATENATE("R3C",'Mapa final'!$Q$24),"")</f>
        <v/>
      </c>
      <c r="S18" s="68" t="str">
        <f>IF(AND('Mapa final'!$AA$25="Alta",'Mapa final'!$AC$25="Menor"),CONCATENATE("R3C",'Mapa final'!$Q$25),"")</f>
        <v/>
      </c>
      <c r="T18" s="68" t="str">
        <f>IF(AND('Mapa final'!$AA$26="Alta",'Mapa final'!$AC$26="Menor"),CONCATENATE("R3C",'Mapa final'!$Q$26),"")</f>
        <v/>
      </c>
      <c r="U18" s="69" t="str">
        <f>IF(AND('Mapa final'!$AA$27="Alta",'Mapa final'!$AC$27="Menor"),CONCATENATE("R3C",'Mapa final'!$Q$27),"")</f>
        <v/>
      </c>
      <c r="V18" s="52" t="str">
        <f>IF(AND('Mapa final'!$AA$22="Alta",'Mapa final'!$AC$22="Moderado"),CONCATENATE("R3C",'Mapa final'!$Q$22),"")</f>
        <v/>
      </c>
      <c r="W18" s="53" t="str">
        <f>IF(AND('Mapa final'!$AA$23="Alta",'Mapa final'!$AC$23="Moderado"),CONCATENATE("R3C",'Mapa final'!$Q$23),"")</f>
        <v/>
      </c>
      <c r="X18" s="53" t="str">
        <f>IF(AND('Mapa final'!$AA$24="Alta",'Mapa final'!$AC$24="Moderado"),CONCATENATE("R3C",'Mapa final'!$Q$24),"")</f>
        <v/>
      </c>
      <c r="Y18" s="53" t="str">
        <f>IF(AND('Mapa final'!$AA$25="Alta",'Mapa final'!$AC$25="Moderado"),CONCATENATE("R3C",'Mapa final'!$Q$25),"")</f>
        <v/>
      </c>
      <c r="Z18" s="53" t="str">
        <f>IF(AND('Mapa final'!$AA$26="Alta",'Mapa final'!$AC$26="Moderado"),CONCATENATE("R3C",'Mapa final'!$Q$26),"")</f>
        <v/>
      </c>
      <c r="AA18" s="54" t="str">
        <f>IF(AND('Mapa final'!$AA$27="Alta",'Mapa final'!$AC$27="Moderado"),CONCATENATE("R3C",'Mapa final'!$Q$27),"")</f>
        <v/>
      </c>
      <c r="AB18" s="52" t="str">
        <f>IF(AND('Mapa final'!$AA$22="Alta",'Mapa final'!$AC$22="Mayor"),CONCATENATE("R3C",'Mapa final'!$Q$22),"")</f>
        <v/>
      </c>
      <c r="AC18" s="53" t="str">
        <f>IF(AND('Mapa final'!$AA$23="Alta",'Mapa final'!$AC$23="Mayor"),CONCATENATE("R3C",'Mapa final'!$Q$23),"")</f>
        <v/>
      </c>
      <c r="AD18" s="53" t="str">
        <f>IF(AND('Mapa final'!$AA$24="Alta",'Mapa final'!$AC$24="Mayor"),CONCATENATE("R3C",'Mapa final'!$Q$24),"")</f>
        <v/>
      </c>
      <c r="AE18" s="53" t="str">
        <f>IF(AND('Mapa final'!$AA$25="Alta",'Mapa final'!$AC$25="Mayor"),CONCATENATE("R3C",'Mapa final'!$Q$25),"")</f>
        <v/>
      </c>
      <c r="AF18" s="53" t="str">
        <f>IF(AND('Mapa final'!$AA$26="Alta",'Mapa final'!$AC$26="Mayor"),CONCATENATE("R3C",'Mapa final'!$Q$26),"")</f>
        <v/>
      </c>
      <c r="AG18" s="54" t="str">
        <f>IF(AND('Mapa final'!$AA$27="Alta",'Mapa final'!$AC$27="Mayor"),CONCATENATE("R3C",'Mapa final'!$Q$27),"")</f>
        <v/>
      </c>
      <c r="AH18" s="55" t="str">
        <f>IF(AND('Mapa final'!$AA$22="Alta",'Mapa final'!$AC$22="Catastrófico"),CONCATENATE("R3C",'Mapa final'!$Q$22),"")</f>
        <v/>
      </c>
      <c r="AI18" s="56" t="str">
        <f>IF(AND('Mapa final'!$AA$23="Alta",'Mapa final'!$AC$23="Catastrófico"),CONCATENATE("R3C",'Mapa final'!$Q$23),"")</f>
        <v/>
      </c>
      <c r="AJ18" s="56" t="str">
        <f>IF(AND('Mapa final'!$AA$24="Alta",'Mapa final'!$AC$24="Catastrófico"),CONCATENATE("R3C",'Mapa final'!$Q$24),"")</f>
        <v/>
      </c>
      <c r="AK18" s="56" t="str">
        <f>IF(AND('Mapa final'!$AA$25="Alta",'Mapa final'!$AC$25="Catastrófico"),CONCATENATE("R3C",'Mapa final'!$Q$25),"")</f>
        <v/>
      </c>
      <c r="AL18" s="56" t="str">
        <f>IF(AND('Mapa final'!$AA$26="Alta",'Mapa final'!$AC$26="Catastrófico"),CONCATENATE("R3C",'Mapa final'!$Q$26),"")</f>
        <v/>
      </c>
      <c r="AM18" s="57" t="str">
        <f>IF(AND('Mapa final'!$AA$27="Alta",'Mapa final'!$AC$27="Catastrófico"),CONCATENATE("R3C",'Mapa final'!$Q$27),"")</f>
        <v/>
      </c>
      <c r="AN18" s="83"/>
      <c r="AO18" s="332"/>
      <c r="AP18" s="333"/>
      <c r="AQ18" s="333"/>
      <c r="AR18" s="333"/>
      <c r="AS18" s="333"/>
      <c r="AT18" s="33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43"/>
      <c r="C19" s="243"/>
      <c r="D19" s="244"/>
      <c r="E19" s="342"/>
      <c r="F19" s="341"/>
      <c r="G19" s="341"/>
      <c r="H19" s="341"/>
      <c r="I19" s="341"/>
      <c r="J19" s="67" t="str">
        <f>IF(AND('Mapa final'!$AA$28="Alta",'Mapa final'!$AC$28="Leve"),CONCATENATE("R4C",'Mapa final'!$Q$28),"")</f>
        <v/>
      </c>
      <c r="K19" s="68" t="str">
        <f>IF(AND('Mapa final'!$AA$29="Alta",'Mapa final'!$AC$29="Leve"),CONCATENATE("R4C",'Mapa final'!$Q$29),"")</f>
        <v/>
      </c>
      <c r="L19" s="68" t="str">
        <f>IF(AND('Mapa final'!$AA$30="Alta",'Mapa final'!$AC$30="Leve"),CONCATENATE("R4C",'Mapa final'!$Q$30),"")</f>
        <v/>
      </c>
      <c r="M19" s="68" t="str">
        <f>IF(AND('Mapa final'!$AA$31="Alta",'Mapa final'!$AC$31="Leve"),CONCATENATE("R4C",'Mapa final'!$Q$31),"")</f>
        <v/>
      </c>
      <c r="N19" s="68" t="str">
        <f>IF(AND('Mapa final'!$AA$32="Alta",'Mapa final'!$AC$32="Leve"),CONCATENATE("R4C",'Mapa final'!$Q$32),"")</f>
        <v/>
      </c>
      <c r="O19" s="69" t="str">
        <f>IF(AND('Mapa final'!$AA$33="Alta",'Mapa final'!$AC$33="Leve"),CONCATENATE("R4C",'Mapa final'!$Q$33),"")</f>
        <v/>
      </c>
      <c r="P19" s="67" t="str">
        <f>IF(AND('Mapa final'!$AA$28="Alta",'Mapa final'!$AC$28="Menor"),CONCATENATE("R4C",'Mapa final'!$Q$28),"")</f>
        <v/>
      </c>
      <c r="Q19" s="68" t="str">
        <f>IF(AND('Mapa final'!$AA$29="Alta",'Mapa final'!$AC$29="Menor"),CONCATENATE("R4C",'Mapa final'!$Q$29),"")</f>
        <v/>
      </c>
      <c r="R19" s="68" t="str">
        <f>IF(AND('Mapa final'!$AA$30="Alta",'Mapa final'!$AC$30="Menor"),CONCATENATE("R4C",'Mapa final'!$Q$30),"")</f>
        <v/>
      </c>
      <c r="S19" s="68" t="str">
        <f>IF(AND('Mapa final'!$AA$31="Alta",'Mapa final'!$AC$31="Menor"),CONCATENATE("R4C",'Mapa final'!$Q$31),"")</f>
        <v/>
      </c>
      <c r="T19" s="68" t="str">
        <f>IF(AND('Mapa final'!$AA$32="Alta",'Mapa final'!$AC$32="Menor"),CONCATENATE("R4C",'Mapa final'!$Q$32),"")</f>
        <v/>
      </c>
      <c r="U19" s="69" t="str">
        <f>IF(AND('Mapa final'!$AA$33="Alta",'Mapa final'!$AC$33="Menor"),CONCATENATE("R4C",'Mapa final'!$Q$33),"")</f>
        <v/>
      </c>
      <c r="V19" s="52" t="str">
        <f>IF(AND('Mapa final'!$AA$28="Alta",'Mapa final'!$AC$28="Moderado"),CONCATENATE("R4C",'Mapa final'!$Q$28),"")</f>
        <v/>
      </c>
      <c r="W19" s="53" t="str">
        <f>IF(AND('Mapa final'!$AA$29="Alta",'Mapa final'!$AC$29="Moderado"),CONCATENATE("R4C",'Mapa final'!$Q$29),"")</f>
        <v/>
      </c>
      <c r="X19" s="53" t="str">
        <f>IF(AND('Mapa final'!$AA$30="Alta",'Mapa final'!$AC$30="Moderado"),CONCATENATE("R4C",'Mapa final'!$Q$30),"")</f>
        <v/>
      </c>
      <c r="Y19" s="53" t="str">
        <f>IF(AND('Mapa final'!$AA$31="Alta",'Mapa final'!$AC$31="Moderado"),CONCATENATE("R4C",'Mapa final'!$Q$31),"")</f>
        <v/>
      </c>
      <c r="Z19" s="53" t="str">
        <f>IF(AND('Mapa final'!$AA$32="Alta",'Mapa final'!$AC$32="Moderado"),CONCATENATE("R4C",'Mapa final'!$Q$32),"")</f>
        <v/>
      </c>
      <c r="AA19" s="54" t="str">
        <f>IF(AND('Mapa final'!$AA$33="Alta",'Mapa final'!$AC$33="Moderado"),CONCATENATE("R4C",'Mapa final'!$Q$33),"")</f>
        <v/>
      </c>
      <c r="AB19" s="52" t="str">
        <f>IF(AND('Mapa final'!$AA$28="Alta",'Mapa final'!$AC$28="Mayor"),CONCATENATE("R4C",'Mapa final'!$Q$28),"")</f>
        <v/>
      </c>
      <c r="AC19" s="53" t="str">
        <f>IF(AND('Mapa final'!$AA$29="Alta",'Mapa final'!$AC$29="Mayor"),CONCATENATE("R4C",'Mapa final'!$Q$29),"")</f>
        <v/>
      </c>
      <c r="AD19" s="53" t="str">
        <f>IF(AND('Mapa final'!$AA$30="Alta",'Mapa final'!$AC$30="Mayor"),CONCATENATE("R4C",'Mapa final'!$Q$30),"")</f>
        <v/>
      </c>
      <c r="AE19" s="53" t="str">
        <f>IF(AND('Mapa final'!$AA$31="Alta",'Mapa final'!$AC$31="Mayor"),CONCATENATE("R4C",'Mapa final'!$Q$31),"")</f>
        <v/>
      </c>
      <c r="AF19" s="53" t="str">
        <f>IF(AND('Mapa final'!$AA$32="Alta",'Mapa final'!$AC$32="Mayor"),CONCATENATE("R4C",'Mapa final'!$Q$32),"")</f>
        <v/>
      </c>
      <c r="AG19" s="54" t="str">
        <f>IF(AND('Mapa final'!$AA$33="Alta",'Mapa final'!$AC$33="Mayor"),CONCATENATE("R4C",'Mapa final'!$Q$33),"")</f>
        <v/>
      </c>
      <c r="AH19" s="55" t="str">
        <f>IF(AND('Mapa final'!$AA$28="Alta",'Mapa final'!$AC$28="Catastrófico"),CONCATENATE("R4C",'Mapa final'!$Q$28),"")</f>
        <v/>
      </c>
      <c r="AI19" s="56" t="str">
        <f>IF(AND('Mapa final'!$AA$29="Alta",'Mapa final'!$AC$29="Catastrófico"),CONCATENATE("R4C",'Mapa final'!$Q$29),"")</f>
        <v/>
      </c>
      <c r="AJ19" s="56" t="str">
        <f>IF(AND('Mapa final'!$AA$30="Alta",'Mapa final'!$AC$30="Catastrófico"),CONCATENATE("R4C",'Mapa final'!$Q$30),"")</f>
        <v/>
      </c>
      <c r="AK19" s="56" t="str">
        <f>IF(AND('Mapa final'!$AA$31="Alta",'Mapa final'!$AC$31="Catastrófico"),CONCATENATE("R4C",'Mapa final'!$Q$31),"")</f>
        <v/>
      </c>
      <c r="AL19" s="56" t="str">
        <f>IF(AND('Mapa final'!$AA$32="Alta",'Mapa final'!$AC$32="Catastrófico"),CONCATENATE("R4C",'Mapa final'!$Q$32),"")</f>
        <v/>
      </c>
      <c r="AM19" s="57" t="str">
        <f>IF(AND('Mapa final'!$AA$33="Alta",'Mapa final'!$AC$33="Catastrófico"),CONCATENATE("R4C",'Mapa final'!$Q$33),"")</f>
        <v/>
      </c>
      <c r="AN19" s="83"/>
      <c r="AO19" s="332"/>
      <c r="AP19" s="333"/>
      <c r="AQ19" s="333"/>
      <c r="AR19" s="333"/>
      <c r="AS19" s="333"/>
      <c r="AT19" s="33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43"/>
      <c r="C20" s="243"/>
      <c r="D20" s="244"/>
      <c r="E20" s="342"/>
      <c r="F20" s="341"/>
      <c r="G20" s="341"/>
      <c r="H20" s="341"/>
      <c r="I20" s="341"/>
      <c r="J20" s="67" t="str">
        <f>IF(AND('Mapa final'!$AA$34="Alta",'Mapa final'!$AC$34="Leve"),CONCATENATE("R5C",'Mapa final'!$Q$34),"")</f>
        <v/>
      </c>
      <c r="K20" s="68" t="str">
        <f>IF(AND('Mapa final'!$AA$35="Alta",'Mapa final'!$AC$35="Leve"),CONCATENATE("R5C",'Mapa final'!$Q$35),"")</f>
        <v/>
      </c>
      <c r="L20" s="68" t="str">
        <f>IF(AND('Mapa final'!$AA$36="Alta",'Mapa final'!$AC$36="Leve"),CONCATENATE("R5C",'Mapa final'!$Q$36),"")</f>
        <v/>
      </c>
      <c r="M20" s="68" t="str">
        <f>IF(AND('Mapa final'!$AA$37="Alta",'Mapa final'!$AC$37="Leve"),CONCATENATE("R5C",'Mapa final'!$Q$37),"")</f>
        <v/>
      </c>
      <c r="N20" s="68" t="str">
        <f>IF(AND('Mapa final'!$AA$38="Alta",'Mapa final'!$AC$38="Leve"),CONCATENATE("R5C",'Mapa final'!$Q$38),"")</f>
        <v/>
      </c>
      <c r="O20" s="69" t="str">
        <f>IF(AND('Mapa final'!$AA$39="Alta",'Mapa final'!$AC$39="Leve"),CONCATENATE("R5C",'Mapa final'!$Q$39),"")</f>
        <v/>
      </c>
      <c r="P20" s="67" t="str">
        <f>IF(AND('Mapa final'!$AA$34="Alta",'Mapa final'!$AC$34="Menor"),CONCATENATE("R5C",'Mapa final'!$Q$34),"")</f>
        <v/>
      </c>
      <c r="Q20" s="68" t="str">
        <f>IF(AND('Mapa final'!$AA$35="Alta",'Mapa final'!$AC$35="Menor"),CONCATENATE("R5C",'Mapa final'!$Q$35),"")</f>
        <v/>
      </c>
      <c r="R20" s="68" t="str">
        <f>IF(AND('Mapa final'!$AA$36="Alta",'Mapa final'!$AC$36="Menor"),CONCATENATE("R5C",'Mapa final'!$Q$36),"")</f>
        <v/>
      </c>
      <c r="S20" s="68" t="str">
        <f>IF(AND('Mapa final'!$AA$37="Alta",'Mapa final'!$AC$37="Menor"),CONCATENATE("R5C",'Mapa final'!$Q$37),"")</f>
        <v/>
      </c>
      <c r="T20" s="68" t="str">
        <f>IF(AND('Mapa final'!$AA$38="Alta",'Mapa final'!$AC$38="Menor"),CONCATENATE("R5C",'Mapa final'!$Q$38),"")</f>
        <v/>
      </c>
      <c r="U20" s="69" t="str">
        <f>IF(AND('Mapa final'!$AA$39="Alta",'Mapa final'!$AC$39="Menor"),CONCATENATE("R5C",'Mapa final'!$Q$39),"")</f>
        <v/>
      </c>
      <c r="V20" s="52" t="str">
        <f>IF(AND('Mapa final'!$AA$34="Alta",'Mapa final'!$AC$34="Moderado"),CONCATENATE("R5C",'Mapa final'!$Q$34),"")</f>
        <v/>
      </c>
      <c r="W20" s="53" t="str">
        <f>IF(AND('Mapa final'!$AA$35="Alta",'Mapa final'!$AC$35="Moderado"),CONCATENATE("R5C",'Mapa final'!$Q$35),"")</f>
        <v/>
      </c>
      <c r="X20" s="53" t="str">
        <f>IF(AND('Mapa final'!$AA$36="Alta",'Mapa final'!$AC$36="Moderado"),CONCATENATE("R5C",'Mapa final'!$Q$36),"")</f>
        <v/>
      </c>
      <c r="Y20" s="53" t="str">
        <f>IF(AND('Mapa final'!$AA$37="Alta",'Mapa final'!$AC$37="Moderado"),CONCATENATE("R5C",'Mapa final'!$Q$37),"")</f>
        <v/>
      </c>
      <c r="Z20" s="53" t="str">
        <f>IF(AND('Mapa final'!$AA$38="Alta",'Mapa final'!$AC$38="Moderado"),CONCATENATE("R5C",'Mapa final'!$Q$38),"")</f>
        <v/>
      </c>
      <c r="AA20" s="54" t="str">
        <f>IF(AND('Mapa final'!$AA$39="Alta",'Mapa final'!$AC$39="Moderado"),CONCATENATE("R5C",'Mapa final'!$Q$39),"")</f>
        <v/>
      </c>
      <c r="AB20" s="52" t="str">
        <f>IF(AND('Mapa final'!$AA$34="Alta",'Mapa final'!$AC$34="Mayor"),CONCATENATE("R5C",'Mapa final'!$Q$34),"")</f>
        <v/>
      </c>
      <c r="AC20" s="53" t="str">
        <f>IF(AND('Mapa final'!$AA$35="Alta",'Mapa final'!$AC$35="Mayor"),CONCATENATE("R5C",'Mapa final'!$Q$35),"")</f>
        <v/>
      </c>
      <c r="AD20" s="53" t="str">
        <f>IF(AND('Mapa final'!$AA$36="Alta",'Mapa final'!$AC$36="Mayor"),CONCATENATE("R5C",'Mapa final'!$Q$36),"")</f>
        <v/>
      </c>
      <c r="AE20" s="53" t="str">
        <f>IF(AND('Mapa final'!$AA$37="Alta",'Mapa final'!$AC$37="Mayor"),CONCATENATE("R5C",'Mapa final'!$Q$37),"")</f>
        <v/>
      </c>
      <c r="AF20" s="53" t="str">
        <f>IF(AND('Mapa final'!$AA$38="Alta",'Mapa final'!$AC$38="Mayor"),CONCATENATE("R5C",'Mapa final'!$Q$38),"")</f>
        <v/>
      </c>
      <c r="AG20" s="54" t="str">
        <f>IF(AND('Mapa final'!$AA$39="Alta",'Mapa final'!$AC$39="Mayor"),CONCATENATE("R5C",'Mapa final'!$Q$39),"")</f>
        <v/>
      </c>
      <c r="AH20" s="55" t="str">
        <f>IF(AND('Mapa final'!$AA$34="Alta",'Mapa final'!$AC$34="Catastrófico"),CONCATENATE("R5C",'Mapa final'!$Q$34),"")</f>
        <v/>
      </c>
      <c r="AI20" s="56" t="str">
        <f>IF(AND('Mapa final'!$AA$35="Alta",'Mapa final'!$AC$35="Catastrófico"),CONCATENATE("R5C",'Mapa final'!$Q$35),"")</f>
        <v/>
      </c>
      <c r="AJ20" s="56" t="str">
        <f>IF(AND('Mapa final'!$AA$36="Alta",'Mapa final'!$AC$36="Catastrófico"),CONCATENATE("R5C",'Mapa final'!$Q$36),"")</f>
        <v/>
      </c>
      <c r="AK20" s="56" t="str">
        <f>IF(AND('Mapa final'!$AA$37="Alta",'Mapa final'!$AC$37="Catastrófico"),CONCATENATE("R5C",'Mapa final'!$Q$37),"")</f>
        <v/>
      </c>
      <c r="AL20" s="56" t="str">
        <f>IF(AND('Mapa final'!$AA$38="Alta",'Mapa final'!$AC$38="Catastrófico"),CONCATENATE("R5C",'Mapa final'!$Q$38),"")</f>
        <v/>
      </c>
      <c r="AM20" s="57" t="str">
        <f>IF(AND('Mapa final'!$AA$39="Alta",'Mapa final'!$AC$39="Catastrófico"),CONCATENATE("R5C",'Mapa final'!$Q$39),"")</f>
        <v/>
      </c>
      <c r="AN20" s="83"/>
      <c r="AO20" s="332"/>
      <c r="AP20" s="333"/>
      <c r="AQ20" s="333"/>
      <c r="AR20" s="333"/>
      <c r="AS20" s="333"/>
      <c r="AT20" s="33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43"/>
      <c r="C21" s="243"/>
      <c r="D21" s="244"/>
      <c r="E21" s="342"/>
      <c r="F21" s="341"/>
      <c r="G21" s="341"/>
      <c r="H21" s="341"/>
      <c r="I21" s="341"/>
      <c r="J21" s="67" t="str">
        <f>IF(AND('Mapa final'!$AA$40="Alta",'Mapa final'!$AC$40="Leve"),CONCATENATE("R6C",'Mapa final'!$Q$40),"")</f>
        <v/>
      </c>
      <c r="K21" s="68" t="str">
        <f>IF(AND('Mapa final'!$AA$41="Alta",'Mapa final'!$AC$41="Leve"),CONCATENATE("R6C",'Mapa final'!$Q$41),"")</f>
        <v/>
      </c>
      <c r="L21" s="68" t="str">
        <f>IF(AND('Mapa final'!$AA$42="Alta",'Mapa final'!$AC$42="Leve"),CONCATENATE("R6C",'Mapa final'!$Q$42),"")</f>
        <v/>
      </c>
      <c r="M21" s="68" t="str">
        <f>IF(AND('Mapa final'!$AA$43="Alta",'Mapa final'!$AC$43="Leve"),CONCATENATE("R6C",'Mapa final'!$Q$43),"")</f>
        <v/>
      </c>
      <c r="N21" s="68" t="str">
        <f>IF(AND('Mapa final'!$AA$44="Alta",'Mapa final'!$AC$44="Leve"),CONCATENATE("R6C",'Mapa final'!$Q$44),"")</f>
        <v/>
      </c>
      <c r="O21" s="69" t="str">
        <f>IF(AND('Mapa final'!$AA$45="Alta",'Mapa final'!$AC$45="Leve"),CONCATENATE("R6C",'Mapa final'!$Q$45),"")</f>
        <v/>
      </c>
      <c r="P21" s="67" t="str">
        <f>IF(AND('Mapa final'!$AA$40="Alta",'Mapa final'!$AC$40="Menor"),CONCATENATE("R6C",'Mapa final'!$Q$40),"")</f>
        <v/>
      </c>
      <c r="Q21" s="68" t="str">
        <f>IF(AND('Mapa final'!$AA$41="Alta",'Mapa final'!$AC$41="Menor"),CONCATENATE("R6C",'Mapa final'!$Q$41),"")</f>
        <v/>
      </c>
      <c r="R21" s="68" t="str">
        <f>IF(AND('Mapa final'!$AA$42="Alta",'Mapa final'!$AC$42="Menor"),CONCATENATE("R6C",'Mapa final'!$Q$42),"")</f>
        <v/>
      </c>
      <c r="S21" s="68" t="str">
        <f>IF(AND('Mapa final'!$AA$43="Alta",'Mapa final'!$AC$43="Menor"),CONCATENATE("R6C",'Mapa final'!$Q$43),"")</f>
        <v/>
      </c>
      <c r="T21" s="68" t="str">
        <f>IF(AND('Mapa final'!$AA$44="Alta",'Mapa final'!$AC$44="Menor"),CONCATENATE("R6C",'Mapa final'!$Q$44),"")</f>
        <v/>
      </c>
      <c r="U21" s="69" t="str">
        <f>IF(AND('Mapa final'!$AA$45="Alta",'Mapa final'!$AC$45="Menor"),CONCATENATE("R6C",'Mapa final'!$Q$45),"")</f>
        <v/>
      </c>
      <c r="V21" s="52" t="str">
        <f>IF(AND('Mapa final'!$AA$40="Alta",'Mapa final'!$AC$40="Moderado"),CONCATENATE("R6C",'Mapa final'!$Q$40),"")</f>
        <v/>
      </c>
      <c r="W21" s="53" t="str">
        <f>IF(AND('Mapa final'!$AA$41="Alta",'Mapa final'!$AC$41="Moderado"),CONCATENATE("R6C",'Mapa final'!$Q$41),"")</f>
        <v/>
      </c>
      <c r="X21" s="53" t="str">
        <f>IF(AND('Mapa final'!$AA$42="Alta",'Mapa final'!$AC$42="Moderado"),CONCATENATE("R6C",'Mapa final'!$Q$42),"")</f>
        <v/>
      </c>
      <c r="Y21" s="53" t="str">
        <f>IF(AND('Mapa final'!$AA$43="Alta",'Mapa final'!$AC$43="Moderado"),CONCATENATE("R6C",'Mapa final'!$Q$43),"")</f>
        <v/>
      </c>
      <c r="Z21" s="53" t="str">
        <f>IF(AND('Mapa final'!$AA$44="Alta",'Mapa final'!$AC$44="Moderado"),CONCATENATE("R6C",'Mapa final'!$Q$44),"")</f>
        <v/>
      </c>
      <c r="AA21" s="54" t="str">
        <f>IF(AND('Mapa final'!$AA$45="Alta",'Mapa final'!$AC$45="Moderado"),CONCATENATE("R6C",'Mapa final'!$Q$45),"")</f>
        <v/>
      </c>
      <c r="AB21" s="52" t="str">
        <f>IF(AND('Mapa final'!$AA$40="Alta",'Mapa final'!$AC$40="Mayor"),CONCATENATE("R6C",'Mapa final'!$Q$40),"")</f>
        <v/>
      </c>
      <c r="AC21" s="53" t="str">
        <f>IF(AND('Mapa final'!$AA$41="Alta",'Mapa final'!$AC$41="Mayor"),CONCATENATE("R6C",'Mapa final'!$Q$41),"")</f>
        <v/>
      </c>
      <c r="AD21" s="53" t="str">
        <f>IF(AND('Mapa final'!$AA$42="Alta",'Mapa final'!$AC$42="Mayor"),CONCATENATE("R6C",'Mapa final'!$Q$42),"")</f>
        <v/>
      </c>
      <c r="AE21" s="53" t="str">
        <f>IF(AND('Mapa final'!$AA$43="Alta",'Mapa final'!$AC$43="Mayor"),CONCATENATE("R6C",'Mapa final'!$Q$43),"")</f>
        <v/>
      </c>
      <c r="AF21" s="53" t="str">
        <f>IF(AND('Mapa final'!$AA$44="Alta",'Mapa final'!$AC$44="Mayor"),CONCATENATE("R6C",'Mapa final'!$Q$44),"")</f>
        <v/>
      </c>
      <c r="AG21" s="54" t="str">
        <f>IF(AND('Mapa final'!$AA$45="Alta",'Mapa final'!$AC$45="Mayor"),CONCATENATE("R6C",'Mapa final'!$Q$45),"")</f>
        <v/>
      </c>
      <c r="AH21" s="55" t="str">
        <f>IF(AND('Mapa final'!$AA$40="Alta",'Mapa final'!$AC$40="Catastrófico"),CONCATENATE("R6C",'Mapa final'!$Q$40),"")</f>
        <v/>
      </c>
      <c r="AI21" s="56" t="str">
        <f>IF(AND('Mapa final'!$AA$41="Alta",'Mapa final'!$AC$41="Catastrófico"),CONCATENATE("R6C",'Mapa final'!$Q$41),"")</f>
        <v/>
      </c>
      <c r="AJ21" s="56" t="str">
        <f>IF(AND('Mapa final'!$AA$42="Alta",'Mapa final'!$AC$42="Catastrófico"),CONCATENATE("R6C",'Mapa final'!$Q$42),"")</f>
        <v/>
      </c>
      <c r="AK21" s="56" t="str">
        <f>IF(AND('Mapa final'!$AA$43="Alta",'Mapa final'!$AC$43="Catastrófico"),CONCATENATE("R6C",'Mapa final'!$Q$43),"")</f>
        <v/>
      </c>
      <c r="AL21" s="56" t="str">
        <f>IF(AND('Mapa final'!$AA$44="Alta",'Mapa final'!$AC$44="Catastrófico"),CONCATENATE("R6C",'Mapa final'!$Q$44),"")</f>
        <v/>
      </c>
      <c r="AM21" s="57" t="str">
        <f>IF(AND('Mapa final'!$AA$45="Alta",'Mapa final'!$AC$45="Catastrófico"),CONCATENATE("R6C",'Mapa final'!$Q$45),"")</f>
        <v/>
      </c>
      <c r="AN21" s="83"/>
      <c r="AO21" s="332"/>
      <c r="AP21" s="333"/>
      <c r="AQ21" s="333"/>
      <c r="AR21" s="333"/>
      <c r="AS21" s="333"/>
      <c r="AT21" s="33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43"/>
      <c r="C22" s="243"/>
      <c r="D22" s="244"/>
      <c r="E22" s="342"/>
      <c r="F22" s="341"/>
      <c r="G22" s="341"/>
      <c r="H22" s="341"/>
      <c r="I22" s="341"/>
      <c r="J22" s="67" t="str">
        <f>IF(AND('Mapa final'!$AA$46="Alta",'Mapa final'!$AC$46="Leve"),CONCATENATE("R7C",'Mapa final'!$Q$46),"")</f>
        <v/>
      </c>
      <c r="K22" s="68" t="str">
        <f>IF(AND('Mapa final'!$AA$47="Alta",'Mapa final'!$AC$47="Leve"),CONCATENATE("R7C",'Mapa final'!$Q$47),"")</f>
        <v/>
      </c>
      <c r="L22" s="68" t="str">
        <f>IF(AND('Mapa final'!$AA$48="Alta",'Mapa final'!$AC$48="Leve"),CONCATENATE("R7C",'Mapa final'!$Q$48),"")</f>
        <v/>
      </c>
      <c r="M22" s="68" t="str">
        <f>IF(AND('Mapa final'!$AA$49="Alta",'Mapa final'!$AC$49="Leve"),CONCATENATE("R7C",'Mapa final'!$Q$49),"")</f>
        <v/>
      </c>
      <c r="N22" s="68" t="str">
        <f>IF(AND('Mapa final'!$AA$50="Alta",'Mapa final'!$AC$50="Leve"),CONCATENATE("R7C",'Mapa final'!$Q$50),"")</f>
        <v/>
      </c>
      <c r="O22" s="69" t="str">
        <f>IF(AND('Mapa final'!$AA$51="Alta",'Mapa final'!$AC$51="Leve"),CONCATENATE("R7C",'Mapa final'!$Q$51),"")</f>
        <v/>
      </c>
      <c r="P22" s="67" t="str">
        <f>IF(AND('Mapa final'!$AA$46="Alta",'Mapa final'!$AC$46="Menor"),CONCATENATE("R7C",'Mapa final'!$Q$46),"")</f>
        <v/>
      </c>
      <c r="Q22" s="68" t="str">
        <f>IF(AND('Mapa final'!$AA$47="Alta",'Mapa final'!$AC$47="Menor"),CONCATENATE("R7C",'Mapa final'!$Q$47),"")</f>
        <v/>
      </c>
      <c r="R22" s="68" t="str">
        <f>IF(AND('Mapa final'!$AA$48="Alta",'Mapa final'!$AC$48="Menor"),CONCATENATE("R7C",'Mapa final'!$Q$48),"")</f>
        <v/>
      </c>
      <c r="S22" s="68" t="str">
        <f>IF(AND('Mapa final'!$AA$49="Alta",'Mapa final'!$AC$49="Menor"),CONCATENATE("R7C",'Mapa final'!$Q$49),"")</f>
        <v/>
      </c>
      <c r="T22" s="68" t="str">
        <f>IF(AND('Mapa final'!$AA$50="Alta",'Mapa final'!$AC$50="Menor"),CONCATENATE("R7C",'Mapa final'!$Q$50),"")</f>
        <v/>
      </c>
      <c r="U22" s="69" t="str">
        <f>IF(AND('Mapa final'!$AA$51="Alta",'Mapa final'!$AC$51="Menor"),CONCATENATE("R7C",'Mapa final'!$Q$51),"")</f>
        <v/>
      </c>
      <c r="V22" s="52" t="str">
        <f>IF(AND('Mapa final'!$AA$46="Alta",'Mapa final'!$AC$46="Moderado"),CONCATENATE("R7C",'Mapa final'!$Q$46),"")</f>
        <v/>
      </c>
      <c r="W22" s="53" t="str">
        <f>IF(AND('Mapa final'!$AA$47="Alta",'Mapa final'!$AC$47="Moderado"),CONCATENATE("R7C",'Mapa final'!$Q$47),"")</f>
        <v/>
      </c>
      <c r="X22" s="53" t="str">
        <f>IF(AND('Mapa final'!$AA$48="Alta",'Mapa final'!$AC$48="Moderado"),CONCATENATE("R7C",'Mapa final'!$Q$48),"")</f>
        <v/>
      </c>
      <c r="Y22" s="53" t="str">
        <f>IF(AND('Mapa final'!$AA$49="Alta",'Mapa final'!$AC$49="Moderado"),CONCATENATE("R7C",'Mapa final'!$Q$49),"")</f>
        <v/>
      </c>
      <c r="Z22" s="53" t="str">
        <f>IF(AND('Mapa final'!$AA$50="Alta",'Mapa final'!$AC$50="Moderado"),CONCATENATE("R7C",'Mapa final'!$Q$50),"")</f>
        <v/>
      </c>
      <c r="AA22" s="54" t="str">
        <f>IF(AND('Mapa final'!$AA$51="Alta",'Mapa final'!$AC$51="Moderado"),CONCATENATE("R7C",'Mapa final'!$Q$51),"")</f>
        <v/>
      </c>
      <c r="AB22" s="52" t="str">
        <f>IF(AND('Mapa final'!$AA$46="Alta",'Mapa final'!$AC$46="Mayor"),CONCATENATE("R7C",'Mapa final'!$Q$46),"")</f>
        <v/>
      </c>
      <c r="AC22" s="53" t="str">
        <f>IF(AND('Mapa final'!$AA$47="Alta",'Mapa final'!$AC$47="Mayor"),CONCATENATE("R7C",'Mapa final'!$Q$47),"")</f>
        <v/>
      </c>
      <c r="AD22" s="53" t="str">
        <f>IF(AND('Mapa final'!$AA$48="Alta",'Mapa final'!$AC$48="Mayor"),CONCATENATE("R7C",'Mapa final'!$Q$48),"")</f>
        <v/>
      </c>
      <c r="AE22" s="53" t="str">
        <f>IF(AND('Mapa final'!$AA$49="Alta",'Mapa final'!$AC$49="Mayor"),CONCATENATE("R7C",'Mapa final'!$Q$49),"")</f>
        <v/>
      </c>
      <c r="AF22" s="53" t="str">
        <f>IF(AND('Mapa final'!$AA$50="Alta",'Mapa final'!$AC$50="Mayor"),CONCATENATE("R7C",'Mapa final'!$Q$50),"")</f>
        <v/>
      </c>
      <c r="AG22" s="54" t="str">
        <f>IF(AND('Mapa final'!$AA$51="Alta",'Mapa final'!$AC$51="Mayor"),CONCATENATE("R7C",'Mapa final'!$Q$51),"")</f>
        <v/>
      </c>
      <c r="AH22" s="55" t="str">
        <f>IF(AND('Mapa final'!$AA$46="Alta",'Mapa final'!$AC$46="Catastrófico"),CONCATENATE("R7C",'Mapa final'!$Q$46),"")</f>
        <v/>
      </c>
      <c r="AI22" s="56" t="str">
        <f>IF(AND('Mapa final'!$AA$47="Alta",'Mapa final'!$AC$47="Catastrófico"),CONCATENATE("R7C",'Mapa final'!$Q$47),"")</f>
        <v/>
      </c>
      <c r="AJ22" s="56" t="str">
        <f>IF(AND('Mapa final'!$AA$48="Alta",'Mapa final'!$AC$48="Catastrófico"),CONCATENATE("R7C",'Mapa final'!$Q$48),"")</f>
        <v/>
      </c>
      <c r="AK22" s="56" t="str">
        <f>IF(AND('Mapa final'!$AA$49="Alta",'Mapa final'!$AC$49="Catastrófico"),CONCATENATE("R7C",'Mapa final'!$Q$49),"")</f>
        <v/>
      </c>
      <c r="AL22" s="56" t="str">
        <f>IF(AND('Mapa final'!$AA$50="Alta",'Mapa final'!$AC$50="Catastrófico"),CONCATENATE("R7C",'Mapa final'!$Q$50),"")</f>
        <v/>
      </c>
      <c r="AM22" s="57" t="str">
        <f>IF(AND('Mapa final'!$AA$51="Alta",'Mapa final'!$AC$51="Catastrófico"),CONCATENATE("R7C",'Mapa final'!$Q$51),"")</f>
        <v/>
      </c>
      <c r="AN22" s="83"/>
      <c r="AO22" s="332"/>
      <c r="AP22" s="333"/>
      <c r="AQ22" s="333"/>
      <c r="AR22" s="333"/>
      <c r="AS22" s="333"/>
      <c r="AT22" s="33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43"/>
      <c r="C23" s="243"/>
      <c r="D23" s="244"/>
      <c r="E23" s="342"/>
      <c r="F23" s="341"/>
      <c r="G23" s="341"/>
      <c r="H23" s="341"/>
      <c r="I23" s="341"/>
      <c r="J23" s="67" t="str">
        <f>IF(AND('Mapa final'!$AA$52="Alta",'Mapa final'!$AC$52="Leve"),CONCATENATE("R8C",'Mapa final'!$Q$52),"")</f>
        <v/>
      </c>
      <c r="K23" s="68" t="str">
        <f>IF(AND('Mapa final'!$AA$53="Alta",'Mapa final'!$AC$53="Leve"),CONCATENATE("R8C",'Mapa final'!$Q$53),"")</f>
        <v/>
      </c>
      <c r="L23" s="68" t="str">
        <f>IF(AND('Mapa final'!$AA$54="Alta",'Mapa final'!$AC$54="Leve"),CONCATENATE("R8C",'Mapa final'!$Q$54),"")</f>
        <v/>
      </c>
      <c r="M23" s="68" t="str">
        <f>IF(AND('Mapa final'!$AA$55="Alta",'Mapa final'!$AC$55="Leve"),CONCATENATE("R8C",'Mapa final'!$Q$55),"")</f>
        <v/>
      </c>
      <c r="N23" s="68" t="str">
        <f>IF(AND('Mapa final'!$AA$56="Alta",'Mapa final'!$AC$56="Leve"),CONCATENATE("R8C",'Mapa final'!$Q$56),"")</f>
        <v/>
      </c>
      <c r="O23" s="69" t="str">
        <f>IF(AND('Mapa final'!$AA$57="Alta",'Mapa final'!$AC$57="Leve"),CONCATENATE("R8C",'Mapa final'!$Q$57),"")</f>
        <v/>
      </c>
      <c r="P23" s="67" t="str">
        <f>IF(AND('Mapa final'!$AA$52="Alta",'Mapa final'!$AC$52="Menor"),CONCATENATE("R8C",'Mapa final'!$Q$52),"")</f>
        <v/>
      </c>
      <c r="Q23" s="68" t="str">
        <f>IF(AND('Mapa final'!$AA$53="Alta",'Mapa final'!$AC$53="Menor"),CONCATENATE("R8C",'Mapa final'!$Q$53),"")</f>
        <v/>
      </c>
      <c r="R23" s="68" t="str">
        <f>IF(AND('Mapa final'!$AA$54="Alta",'Mapa final'!$AC$54="Menor"),CONCATENATE("R8C",'Mapa final'!$Q$54),"")</f>
        <v/>
      </c>
      <c r="S23" s="68" t="str">
        <f>IF(AND('Mapa final'!$AA$55="Alta",'Mapa final'!$AC$55="Menor"),CONCATENATE("R8C",'Mapa final'!$Q$55),"")</f>
        <v/>
      </c>
      <c r="T23" s="68" t="str">
        <f>IF(AND('Mapa final'!$AA$56="Alta",'Mapa final'!$AC$56="Menor"),CONCATENATE("R8C",'Mapa final'!$Q$56),"")</f>
        <v/>
      </c>
      <c r="U23" s="69" t="str">
        <f>IF(AND('Mapa final'!$AA$57="Alta",'Mapa final'!$AC$57="Menor"),CONCATENATE("R8C",'Mapa final'!$Q$57),"")</f>
        <v/>
      </c>
      <c r="V23" s="52" t="str">
        <f>IF(AND('Mapa final'!$AA$52="Alta",'Mapa final'!$AC$52="Moderado"),CONCATENATE("R8C",'Mapa final'!$Q$52),"")</f>
        <v/>
      </c>
      <c r="W23" s="53" t="str">
        <f>IF(AND('Mapa final'!$AA$53="Alta",'Mapa final'!$AC$53="Moderado"),CONCATENATE("R8C",'Mapa final'!$Q$53),"")</f>
        <v/>
      </c>
      <c r="X23" s="53" t="str">
        <f>IF(AND('Mapa final'!$AA$54="Alta",'Mapa final'!$AC$54="Moderado"),CONCATENATE("R8C",'Mapa final'!$Q$54),"")</f>
        <v/>
      </c>
      <c r="Y23" s="53" t="str">
        <f>IF(AND('Mapa final'!$AA$55="Alta",'Mapa final'!$AC$55="Moderado"),CONCATENATE("R8C",'Mapa final'!$Q$55),"")</f>
        <v/>
      </c>
      <c r="Z23" s="53" t="str">
        <f>IF(AND('Mapa final'!$AA$56="Alta",'Mapa final'!$AC$56="Moderado"),CONCATENATE("R8C",'Mapa final'!$Q$56),"")</f>
        <v/>
      </c>
      <c r="AA23" s="54" t="str">
        <f>IF(AND('Mapa final'!$AA$57="Alta",'Mapa final'!$AC$57="Moderado"),CONCATENATE("R8C",'Mapa final'!$Q$57),"")</f>
        <v/>
      </c>
      <c r="AB23" s="52" t="str">
        <f>IF(AND('Mapa final'!$AA$52="Alta",'Mapa final'!$AC$52="Mayor"),CONCATENATE("R8C",'Mapa final'!$Q$52),"")</f>
        <v/>
      </c>
      <c r="AC23" s="53" t="str">
        <f>IF(AND('Mapa final'!$AA$53="Alta",'Mapa final'!$AC$53="Mayor"),CONCATENATE("R8C",'Mapa final'!$Q$53),"")</f>
        <v/>
      </c>
      <c r="AD23" s="53" t="str">
        <f>IF(AND('Mapa final'!$AA$54="Alta",'Mapa final'!$AC$54="Mayor"),CONCATENATE("R8C",'Mapa final'!$Q$54),"")</f>
        <v/>
      </c>
      <c r="AE23" s="53" t="str">
        <f>IF(AND('Mapa final'!$AA$55="Alta",'Mapa final'!$AC$55="Mayor"),CONCATENATE("R8C",'Mapa final'!$Q$55),"")</f>
        <v/>
      </c>
      <c r="AF23" s="53" t="str">
        <f>IF(AND('Mapa final'!$AA$56="Alta",'Mapa final'!$AC$56="Mayor"),CONCATENATE("R8C",'Mapa final'!$Q$56),"")</f>
        <v/>
      </c>
      <c r="AG23" s="54" t="str">
        <f>IF(AND('Mapa final'!$AA$57="Alta",'Mapa final'!$AC$57="Mayor"),CONCATENATE("R8C",'Mapa final'!$Q$57),"")</f>
        <v/>
      </c>
      <c r="AH23" s="55" t="str">
        <f>IF(AND('Mapa final'!$AA$52="Alta",'Mapa final'!$AC$52="Catastrófico"),CONCATENATE("R8C",'Mapa final'!$Q$52),"")</f>
        <v/>
      </c>
      <c r="AI23" s="56" t="str">
        <f>IF(AND('Mapa final'!$AA$53="Alta",'Mapa final'!$AC$53="Catastrófico"),CONCATENATE("R8C",'Mapa final'!$Q$53),"")</f>
        <v/>
      </c>
      <c r="AJ23" s="56" t="str">
        <f>IF(AND('Mapa final'!$AA$54="Alta",'Mapa final'!$AC$54="Catastrófico"),CONCATENATE("R8C",'Mapa final'!$Q$54),"")</f>
        <v/>
      </c>
      <c r="AK23" s="56" t="str">
        <f>IF(AND('Mapa final'!$AA$55="Alta",'Mapa final'!$AC$55="Catastrófico"),CONCATENATE("R8C",'Mapa final'!$Q$55),"")</f>
        <v/>
      </c>
      <c r="AL23" s="56" t="str">
        <f>IF(AND('Mapa final'!$AA$56="Alta",'Mapa final'!$AC$56="Catastrófico"),CONCATENATE("R8C",'Mapa final'!$Q$56),"")</f>
        <v/>
      </c>
      <c r="AM23" s="57" t="str">
        <f>IF(AND('Mapa final'!$AA$57="Alta",'Mapa final'!$AC$57="Catastrófico"),CONCATENATE("R8C",'Mapa final'!$Q$57),"")</f>
        <v/>
      </c>
      <c r="AN23" s="83"/>
      <c r="AO23" s="332"/>
      <c r="AP23" s="333"/>
      <c r="AQ23" s="333"/>
      <c r="AR23" s="333"/>
      <c r="AS23" s="333"/>
      <c r="AT23" s="33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43"/>
      <c r="C24" s="243"/>
      <c r="D24" s="244"/>
      <c r="E24" s="342"/>
      <c r="F24" s="341"/>
      <c r="G24" s="341"/>
      <c r="H24" s="341"/>
      <c r="I24" s="341"/>
      <c r="J24" s="67" t="str">
        <f>IF(AND('Mapa final'!$AA$58="Alta",'Mapa final'!$AC$58="Leve"),CONCATENATE("R9C",'Mapa final'!$Q$58),"")</f>
        <v/>
      </c>
      <c r="K24" s="68" t="str">
        <f>IF(AND('Mapa final'!$AA$59="Alta",'Mapa final'!$AC$59="Leve"),CONCATENATE("R9C",'Mapa final'!$Q$59),"")</f>
        <v/>
      </c>
      <c r="L24" s="68" t="str">
        <f>IF(AND('Mapa final'!$AA$60="Alta",'Mapa final'!$AC$60="Leve"),CONCATENATE("R9C",'Mapa final'!$Q$60),"")</f>
        <v/>
      </c>
      <c r="M24" s="68" t="str">
        <f>IF(AND('Mapa final'!$AA$61="Alta",'Mapa final'!$AC$61="Leve"),CONCATENATE("R9C",'Mapa final'!$Q$61),"")</f>
        <v/>
      </c>
      <c r="N24" s="68" t="str">
        <f>IF(AND('Mapa final'!$AA$62="Alta",'Mapa final'!$AC$62="Leve"),CONCATENATE("R9C",'Mapa final'!$Q$62),"")</f>
        <v/>
      </c>
      <c r="O24" s="69" t="str">
        <f>IF(AND('Mapa final'!$AA$63="Alta",'Mapa final'!$AC$63="Leve"),CONCATENATE("R9C",'Mapa final'!$Q$63),"")</f>
        <v/>
      </c>
      <c r="P24" s="67" t="str">
        <f>IF(AND('Mapa final'!$AA$58="Alta",'Mapa final'!$AC$58="Menor"),CONCATENATE("R9C",'Mapa final'!$Q$58),"")</f>
        <v/>
      </c>
      <c r="Q24" s="68" t="str">
        <f>IF(AND('Mapa final'!$AA$59="Alta",'Mapa final'!$AC$59="Menor"),CONCATENATE("R9C",'Mapa final'!$Q$59),"")</f>
        <v/>
      </c>
      <c r="R24" s="68" t="str">
        <f>IF(AND('Mapa final'!$AA$60="Alta",'Mapa final'!$AC$60="Menor"),CONCATENATE("R9C",'Mapa final'!$Q$60),"")</f>
        <v/>
      </c>
      <c r="S24" s="68" t="str">
        <f>IF(AND('Mapa final'!$AA$61="Alta",'Mapa final'!$AC$61="Menor"),CONCATENATE("R9C",'Mapa final'!$Q$61),"")</f>
        <v/>
      </c>
      <c r="T24" s="68" t="str">
        <f>IF(AND('Mapa final'!$AA$62="Alta",'Mapa final'!$AC$62="Menor"),CONCATENATE("R9C",'Mapa final'!$Q$62),"")</f>
        <v/>
      </c>
      <c r="U24" s="69" t="str">
        <f>IF(AND('Mapa final'!$AA$63="Alta",'Mapa final'!$AC$63="Menor"),CONCATENATE("R9C",'Mapa final'!$Q$63),"")</f>
        <v/>
      </c>
      <c r="V24" s="52" t="str">
        <f>IF(AND('Mapa final'!$AA$58="Alta",'Mapa final'!$AC$58="Moderado"),CONCATENATE("R9C",'Mapa final'!$Q$58),"")</f>
        <v/>
      </c>
      <c r="W24" s="53" t="str">
        <f>IF(AND('Mapa final'!$AA$59="Alta",'Mapa final'!$AC$59="Moderado"),CONCATENATE("R9C",'Mapa final'!$Q$59),"")</f>
        <v/>
      </c>
      <c r="X24" s="53" t="str">
        <f>IF(AND('Mapa final'!$AA$60="Alta",'Mapa final'!$AC$60="Moderado"),CONCATENATE("R9C",'Mapa final'!$Q$60),"")</f>
        <v/>
      </c>
      <c r="Y24" s="53" t="str">
        <f>IF(AND('Mapa final'!$AA$61="Alta",'Mapa final'!$AC$61="Moderado"),CONCATENATE("R9C",'Mapa final'!$Q$61),"")</f>
        <v/>
      </c>
      <c r="Z24" s="53" t="str">
        <f>IF(AND('Mapa final'!$AA$62="Alta",'Mapa final'!$AC$62="Moderado"),CONCATENATE("R9C",'Mapa final'!$Q$62),"")</f>
        <v/>
      </c>
      <c r="AA24" s="54" t="str">
        <f>IF(AND('Mapa final'!$AA$63="Alta",'Mapa final'!$AC$63="Moderado"),CONCATENATE("R9C",'Mapa final'!$Q$63),"")</f>
        <v/>
      </c>
      <c r="AB24" s="52" t="str">
        <f>IF(AND('Mapa final'!$AA$58="Alta",'Mapa final'!$AC$58="Mayor"),CONCATENATE("R9C",'Mapa final'!$Q$58),"")</f>
        <v/>
      </c>
      <c r="AC24" s="53" t="str">
        <f>IF(AND('Mapa final'!$AA$59="Alta",'Mapa final'!$AC$59="Mayor"),CONCATENATE("R9C",'Mapa final'!$Q$59),"")</f>
        <v/>
      </c>
      <c r="AD24" s="53" t="str">
        <f>IF(AND('Mapa final'!$AA$60="Alta",'Mapa final'!$AC$60="Mayor"),CONCATENATE("R9C",'Mapa final'!$Q$60),"")</f>
        <v/>
      </c>
      <c r="AE24" s="53" t="str">
        <f>IF(AND('Mapa final'!$AA$61="Alta",'Mapa final'!$AC$61="Mayor"),CONCATENATE("R9C",'Mapa final'!$Q$61),"")</f>
        <v/>
      </c>
      <c r="AF24" s="53" t="str">
        <f>IF(AND('Mapa final'!$AA$62="Alta",'Mapa final'!$AC$62="Mayor"),CONCATENATE("R9C",'Mapa final'!$Q$62),"")</f>
        <v/>
      </c>
      <c r="AG24" s="54" t="str">
        <f>IF(AND('Mapa final'!$AA$63="Alta",'Mapa final'!$AC$63="Mayor"),CONCATENATE("R9C",'Mapa final'!$Q$63),"")</f>
        <v/>
      </c>
      <c r="AH24" s="55" t="str">
        <f>IF(AND('Mapa final'!$AA$58="Alta",'Mapa final'!$AC$58="Catastrófico"),CONCATENATE("R9C",'Mapa final'!$Q$58),"")</f>
        <v/>
      </c>
      <c r="AI24" s="56" t="str">
        <f>IF(AND('Mapa final'!$AA$59="Alta",'Mapa final'!$AC$59="Catastrófico"),CONCATENATE("R9C",'Mapa final'!$Q$59),"")</f>
        <v/>
      </c>
      <c r="AJ24" s="56" t="str">
        <f>IF(AND('Mapa final'!$AA$60="Alta",'Mapa final'!$AC$60="Catastrófico"),CONCATENATE("R9C",'Mapa final'!$Q$60),"")</f>
        <v/>
      </c>
      <c r="AK24" s="56" t="str">
        <f>IF(AND('Mapa final'!$AA$61="Alta",'Mapa final'!$AC$61="Catastrófico"),CONCATENATE("R9C",'Mapa final'!$Q$61),"")</f>
        <v/>
      </c>
      <c r="AL24" s="56" t="str">
        <f>IF(AND('Mapa final'!$AA$62="Alta",'Mapa final'!$AC$62="Catastrófico"),CONCATENATE("R9C",'Mapa final'!$Q$62),"")</f>
        <v/>
      </c>
      <c r="AM24" s="57" t="str">
        <f>IF(AND('Mapa final'!$AA$63="Alta",'Mapa final'!$AC$63="Catastrófico"),CONCATENATE("R9C",'Mapa final'!$Q$63),"")</f>
        <v/>
      </c>
      <c r="AN24" s="83"/>
      <c r="AO24" s="332"/>
      <c r="AP24" s="333"/>
      <c r="AQ24" s="333"/>
      <c r="AR24" s="333"/>
      <c r="AS24" s="333"/>
      <c r="AT24" s="33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43"/>
      <c r="C25" s="243"/>
      <c r="D25" s="244"/>
      <c r="E25" s="343"/>
      <c r="F25" s="344"/>
      <c r="G25" s="344"/>
      <c r="H25" s="344"/>
      <c r="I25" s="344"/>
      <c r="J25" s="70" t="str">
        <f>IF(AND('Mapa final'!$AA$64="Alta",'Mapa final'!$AC$64="Leve"),CONCATENATE("R10C",'Mapa final'!$Q$64),"")</f>
        <v/>
      </c>
      <c r="K25" s="71" t="str">
        <f>IF(AND('Mapa final'!$AA$65="Alta",'Mapa final'!$AC$65="Leve"),CONCATENATE("R10C",'Mapa final'!$Q$65),"")</f>
        <v/>
      </c>
      <c r="L25" s="71" t="str">
        <f>IF(AND('Mapa final'!$AA$66="Alta",'Mapa final'!$AC$66="Leve"),CONCATENATE("R10C",'Mapa final'!$Q$66),"")</f>
        <v/>
      </c>
      <c r="M25" s="71" t="str">
        <f>IF(AND('Mapa final'!$AA$67="Alta",'Mapa final'!$AC$67="Leve"),CONCATENATE("R10C",'Mapa final'!$Q$67),"")</f>
        <v/>
      </c>
      <c r="N25" s="71" t="str">
        <f>IF(AND('Mapa final'!$AA$68="Alta",'Mapa final'!$AC$68="Leve"),CONCATENATE("R10C",'Mapa final'!$Q$68),"")</f>
        <v/>
      </c>
      <c r="O25" s="72" t="str">
        <f>IF(AND('Mapa final'!$AA$69="Alta",'Mapa final'!$AC$69="Leve"),CONCATENATE("R10C",'Mapa final'!$Q$69),"")</f>
        <v/>
      </c>
      <c r="P25" s="70" t="str">
        <f>IF(AND('Mapa final'!$AA$64="Alta",'Mapa final'!$AC$64="Menor"),CONCATENATE("R10C",'Mapa final'!$Q$64),"")</f>
        <v/>
      </c>
      <c r="Q25" s="71" t="str">
        <f>IF(AND('Mapa final'!$AA$65="Alta",'Mapa final'!$AC$65="Menor"),CONCATENATE("R10C",'Mapa final'!$Q$65),"")</f>
        <v/>
      </c>
      <c r="R25" s="71" t="str">
        <f>IF(AND('Mapa final'!$AA$66="Alta",'Mapa final'!$AC$66="Menor"),CONCATENATE("R10C",'Mapa final'!$Q$66),"")</f>
        <v/>
      </c>
      <c r="S25" s="71" t="str">
        <f>IF(AND('Mapa final'!$AA$67="Alta",'Mapa final'!$AC$67="Menor"),CONCATENATE("R10C",'Mapa final'!$Q$67),"")</f>
        <v/>
      </c>
      <c r="T25" s="71" t="str">
        <f>IF(AND('Mapa final'!$AA$68="Alta",'Mapa final'!$AC$68="Menor"),CONCATENATE("R10C",'Mapa final'!$Q$68),"")</f>
        <v/>
      </c>
      <c r="U25" s="72" t="str">
        <f>IF(AND('Mapa final'!$AA$69="Alta",'Mapa final'!$AC$69="Menor"),CONCATENATE("R10C",'Mapa final'!$Q$69),"")</f>
        <v/>
      </c>
      <c r="V25" s="58" t="str">
        <f>IF(AND('Mapa final'!$AA$64="Alta",'Mapa final'!$AC$64="Moderado"),CONCATENATE("R10C",'Mapa final'!$Q$64),"")</f>
        <v/>
      </c>
      <c r="W25" s="59" t="str">
        <f>IF(AND('Mapa final'!$AA$65="Alta",'Mapa final'!$AC$65="Moderado"),CONCATENATE("R10C",'Mapa final'!$Q$65),"")</f>
        <v/>
      </c>
      <c r="X25" s="59" t="str">
        <f>IF(AND('Mapa final'!$AA$66="Alta",'Mapa final'!$AC$66="Moderado"),CONCATENATE("R10C",'Mapa final'!$Q$66),"")</f>
        <v/>
      </c>
      <c r="Y25" s="59" t="str">
        <f>IF(AND('Mapa final'!$AA$67="Alta",'Mapa final'!$AC$67="Moderado"),CONCATENATE("R10C",'Mapa final'!$Q$67),"")</f>
        <v/>
      </c>
      <c r="Z25" s="59" t="str">
        <f>IF(AND('Mapa final'!$AA$68="Alta",'Mapa final'!$AC$68="Moderado"),CONCATENATE("R10C",'Mapa final'!$Q$68),"")</f>
        <v/>
      </c>
      <c r="AA25" s="60" t="str">
        <f>IF(AND('Mapa final'!$AA$69="Alta",'Mapa final'!$AC$69="Moderado"),CONCATENATE("R10C",'Mapa final'!$Q$69),"")</f>
        <v/>
      </c>
      <c r="AB25" s="58" t="str">
        <f>IF(AND('Mapa final'!$AA$64="Alta",'Mapa final'!$AC$64="Mayor"),CONCATENATE("R10C",'Mapa final'!$Q$64),"")</f>
        <v/>
      </c>
      <c r="AC25" s="59" t="str">
        <f>IF(AND('Mapa final'!$AA$65="Alta",'Mapa final'!$AC$65="Mayor"),CONCATENATE("R10C",'Mapa final'!$Q$65),"")</f>
        <v/>
      </c>
      <c r="AD25" s="59" t="str">
        <f>IF(AND('Mapa final'!$AA$66="Alta",'Mapa final'!$AC$66="Mayor"),CONCATENATE("R10C",'Mapa final'!$Q$66),"")</f>
        <v/>
      </c>
      <c r="AE25" s="59" t="str">
        <f>IF(AND('Mapa final'!$AA$67="Alta",'Mapa final'!$AC$67="Mayor"),CONCATENATE("R10C",'Mapa final'!$Q$67),"")</f>
        <v/>
      </c>
      <c r="AF25" s="59" t="str">
        <f>IF(AND('Mapa final'!$AA$68="Alta",'Mapa final'!$AC$68="Mayor"),CONCATENATE("R10C",'Mapa final'!$Q$68),"")</f>
        <v/>
      </c>
      <c r="AG25" s="60" t="str">
        <f>IF(AND('Mapa final'!$AA$69="Alta",'Mapa final'!$AC$69="Mayor"),CONCATENATE("R10C",'Mapa final'!$Q$69),"")</f>
        <v/>
      </c>
      <c r="AH25" s="61" t="str">
        <f>IF(AND('Mapa final'!$AA$64="Alta",'Mapa final'!$AC$64="Catastrófico"),CONCATENATE("R10C",'Mapa final'!$Q$64),"")</f>
        <v/>
      </c>
      <c r="AI25" s="62" t="str">
        <f>IF(AND('Mapa final'!$AA$65="Alta",'Mapa final'!$AC$65="Catastrófico"),CONCATENATE("R10C",'Mapa final'!$Q$65),"")</f>
        <v/>
      </c>
      <c r="AJ25" s="62" t="str">
        <f>IF(AND('Mapa final'!$AA$66="Alta",'Mapa final'!$AC$66="Catastrófico"),CONCATENATE("R10C",'Mapa final'!$Q$66),"")</f>
        <v/>
      </c>
      <c r="AK25" s="62" t="str">
        <f>IF(AND('Mapa final'!$AA$67="Alta",'Mapa final'!$AC$67="Catastrófico"),CONCATENATE("R10C",'Mapa final'!$Q$67),"")</f>
        <v/>
      </c>
      <c r="AL25" s="62" t="str">
        <f>IF(AND('Mapa final'!$AA$68="Alta",'Mapa final'!$AC$68="Catastrófico"),CONCATENATE("R10C",'Mapa final'!$Q$68),"")</f>
        <v/>
      </c>
      <c r="AM25" s="63" t="str">
        <f>IF(AND('Mapa final'!$AA$69="Alta",'Mapa final'!$AC$69="Catastrófico"),CONCATENATE("R10C",'Mapa final'!$Q$69),"")</f>
        <v/>
      </c>
      <c r="AN25" s="83"/>
      <c r="AO25" s="335"/>
      <c r="AP25" s="336"/>
      <c r="AQ25" s="336"/>
      <c r="AR25" s="336"/>
      <c r="AS25" s="336"/>
      <c r="AT25" s="33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43"/>
      <c r="C26" s="243"/>
      <c r="D26" s="244"/>
      <c r="E26" s="338" t="s">
        <v>117</v>
      </c>
      <c r="F26" s="339"/>
      <c r="G26" s="339"/>
      <c r="H26" s="339"/>
      <c r="I26" s="356"/>
      <c r="J26" s="64" t="str">
        <f>IF(AND('Mapa final'!$AA$10="Media",'Mapa final'!$AC$10="Leve"),CONCATENATE("R1C",'Mapa final'!$Q$10),"")</f>
        <v/>
      </c>
      <c r="K26" s="65" t="str">
        <f>IF(AND('Mapa final'!$AA$11="Media",'Mapa final'!$AC$11="Leve"),CONCATENATE("R1C",'Mapa final'!$Q$11),"")</f>
        <v/>
      </c>
      <c r="L26" s="65" t="str">
        <f>IF(AND('Mapa final'!$AA$12="Media",'Mapa final'!$AC$12="Leve"),CONCATENATE("R1C",'Mapa final'!$Q$12),"")</f>
        <v/>
      </c>
      <c r="M26" s="65" t="str">
        <f>IF(AND('Mapa final'!$AA$13="Media",'Mapa final'!$AC$13="Leve"),CONCATENATE("R1C",'Mapa final'!$Q$13),"")</f>
        <v/>
      </c>
      <c r="N26" s="65" t="str">
        <f>IF(AND('Mapa final'!$AA$14="Media",'Mapa final'!$AC$14="Leve"),CONCATENATE("R1C",'Mapa final'!$Q$14),"")</f>
        <v/>
      </c>
      <c r="O26" s="66" t="str">
        <f>IF(AND('Mapa final'!$AA$15="Media",'Mapa final'!$AC$15="Leve"),CONCATENATE("R1C",'Mapa final'!$Q$15),"")</f>
        <v/>
      </c>
      <c r="P26" s="64" t="str">
        <f>IF(AND('Mapa final'!$AA$10="Media",'Mapa final'!$AC$10="Menor"),CONCATENATE("R1C",'Mapa final'!$Q$10),"")</f>
        <v/>
      </c>
      <c r="Q26" s="65" t="str">
        <f>IF(AND('Mapa final'!$AA$11="Media",'Mapa final'!$AC$11="Menor"),CONCATENATE("R1C",'Mapa final'!$Q$11),"")</f>
        <v/>
      </c>
      <c r="R26" s="65" t="str">
        <f>IF(AND('Mapa final'!$AA$12="Media",'Mapa final'!$AC$12="Menor"),CONCATENATE("R1C",'Mapa final'!$Q$12),"")</f>
        <v/>
      </c>
      <c r="S26" s="65" t="str">
        <f>IF(AND('Mapa final'!$AA$13="Media",'Mapa final'!$AC$13="Menor"),CONCATENATE("R1C",'Mapa final'!$Q$13),"")</f>
        <v/>
      </c>
      <c r="T26" s="65" t="str">
        <f>IF(AND('Mapa final'!$AA$14="Media",'Mapa final'!$AC$14="Menor"),CONCATENATE("R1C",'Mapa final'!$Q$14),"")</f>
        <v/>
      </c>
      <c r="U26" s="66" t="str">
        <f>IF(AND('Mapa final'!$AA$15="Media",'Mapa final'!$AC$15="Menor"),CONCATENATE("R1C",'Mapa final'!$Q$15),"")</f>
        <v/>
      </c>
      <c r="V26" s="64" t="str">
        <f>IF(AND('Mapa final'!$AA$10="Media",'Mapa final'!$AC$10="Moderado"),CONCATENATE("R1C",'Mapa final'!$Q$10),"")</f>
        <v/>
      </c>
      <c r="W26" s="65" t="str">
        <f>IF(AND('Mapa final'!$AA$11="Media",'Mapa final'!$AC$11="Moderado"),CONCATENATE("R1C",'Mapa final'!$Q$11),"")</f>
        <v/>
      </c>
      <c r="X26" s="65" t="str">
        <f>IF(AND('Mapa final'!$AA$12="Media",'Mapa final'!$AC$12="Moderado"),CONCATENATE("R1C",'Mapa final'!$Q$12),"")</f>
        <v/>
      </c>
      <c r="Y26" s="65" t="str">
        <f>IF(AND('Mapa final'!$AA$13="Media",'Mapa final'!$AC$13="Moderado"),CONCATENATE("R1C",'Mapa final'!$Q$13),"")</f>
        <v/>
      </c>
      <c r="Z26" s="65" t="str">
        <f>IF(AND('Mapa final'!$AA$14="Media",'Mapa final'!$AC$14="Moderado"),CONCATENATE("R1C",'Mapa final'!$Q$14),"")</f>
        <v/>
      </c>
      <c r="AA26" s="66" t="str">
        <f>IF(AND('Mapa final'!$AA$15="Media",'Mapa final'!$AC$15="Moderado"),CONCATENATE("R1C",'Mapa final'!$Q$15),"")</f>
        <v/>
      </c>
      <c r="AB26" s="46" t="str">
        <f>IF(AND('Mapa final'!$AA$10="Media",'Mapa final'!$AC$10="Mayor"),CONCATENATE("R1C",'Mapa final'!$Q$10),"")</f>
        <v/>
      </c>
      <c r="AC26" s="47" t="str">
        <f>IF(AND('Mapa final'!$AA$11="Media",'Mapa final'!$AC$11="Mayor"),CONCATENATE("R1C",'Mapa final'!$Q$11),"")</f>
        <v/>
      </c>
      <c r="AD26" s="47" t="str">
        <f>IF(AND('Mapa final'!$AA$12="Media",'Mapa final'!$AC$12="Mayor"),CONCATENATE("R1C",'Mapa final'!$Q$12),"")</f>
        <v/>
      </c>
      <c r="AE26" s="47" t="str">
        <f>IF(AND('Mapa final'!$AA$13="Media",'Mapa final'!$AC$13="Mayor"),CONCATENATE("R1C",'Mapa final'!$Q$13),"")</f>
        <v/>
      </c>
      <c r="AF26" s="47" t="str">
        <f>IF(AND('Mapa final'!$AA$14="Media",'Mapa final'!$AC$14="Mayor"),CONCATENATE("R1C",'Mapa final'!$Q$14),"")</f>
        <v/>
      </c>
      <c r="AG26" s="48" t="str">
        <f>IF(AND('Mapa final'!$AA$15="Media",'Mapa final'!$AC$15="Mayor"),CONCATENATE("R1C",'Mapa final'!$Q$15),"")</f>
        <v/>
      </c>
      <c r="AH26" s="49" t="str">
        <f>IF(AND('Mapa final'!$AA$10="Media",'Mapa final'!$AC$10="Catastrófico"),CONCATENATE("R1C",'Mapa final'!$Q$10),"")</f>
        <v/>
      </c>
      <c r="AI26" s="50" t="str">
        <f>IF(AND('Mapa final'!$AA$11="Media",'Mapa final'!$AC$11="Catastrófico"),CONCATENATE("R1C",'Mapa final'!$Q$11),"")</f>
        <v/>
      </c>
      <c r="AJ26" s="50" t="str">
        <f>IF(AND('Mapa final'!$AA$12="Media",'Mapa final'!$AC$12="Catastrófico"),CONCATENATE("R1C",'Mapa final'!$Q$12),"")</f>
        <v/>
      </c>
      <c r="AK26" s="50" t="str">
        <f>IF(AND('Mapa final'!$AA$13="Media",'Mapa final'!$AC$13="Catastrófico"),CONCATENATE("R1C",'Mapa final'!$Q$13),"")</f>
        <v/>
      </c>
      <c r="AL26" s="50" t="str">
        <f>IF(AND('Mapa final'!$AA$14="Media",'Mapa final'!$AC$14="Catastrófico"),CONCATENATE("R1C",'Mapa final'!$Q$14),"")</f>
        <v/>
      </c>
      <c r="AM26" s="51" t="str">
        <f>IF(AND('Mapa final'!$AA$15="Media",'Mapa final'!$AC$15="Catastrófico"),CONCATENATE("R1C",'Mapa final'!$Q$15),"")</f>
        <v/>
      </c>
      <c r="AN26" s="83"/>
      <c r="AO26" s="368" t="s">
        <v>81</v>
      </c>
      <c r="AP26" s="369"/>
      <c r="AQ26" s="369"/>
      <c r="AR26" s="369"/>
      <c r="AS26" s="369"/>
      <c r="AT26" s="3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43"/>
      <c r="C27" s="243"/>
      <c r="D27" s="244"/>
      <c r="E27" s="340"/>
      <c r="F27" s="341"/>
      <c r="G27" s="341"/>
      <c r="H27" s="341"/>
      <c r="I27" s="357"/>
      <c r="J27" s="67" t="str">
        <f>IF(AND('Mapa final'!$AA$16="Media",'Mapa final'!$AC$16="Leve"),CONCATENATE("R2C",'Mapa final'!$Q$16),"")</f>
        <v/>
      </c>
      <c r="K27" s="68" t="str">
        <f>IF(AND('Mapa final'!$AA$17="Media",'Mapa final'!$AC$17="Leve"),CONCATENATE("R2C",'Mapa final'!$Q$17),"")</f>
        <v/>
      </c>
      <c r="L27" s="68" t="str">
        <f>IF(AND('Mapa final'!$AA$18="Media",'Mapa final'!$AC$18="Leve"),CONCATENATE("R2C",'Mapa final'!$Q$18),"")</f>
        <v/>
      </c>
      <c r="M27" s="68" t="str">
        <f>IF(AND('Mapa final'!$AA$19="Media",'Mapa final'!$AC$19="Leve"),CONCATENATE("R2C",'Mapa final'!$Q$19),"")</f>
        <v/>
      </c>
      <c r="N27" s="68" t="str">
        <f>IF(AND('Mapa final'!$AA$20="Media",'Mapa final'!$AC$20="Leve"),CONCATENATE("R2C",'Mapa final'!$Q$20),"")</f>
        <v/>
      </c>
      <c r="O27" s="69" t="str">
        <f>IF(AND('Mapa final'!$AA$21="Media",'Mapa final'!$AC$21="Leve"),CONCATENATE("R2C",'Mapa final'!$Q$21),"")</f>
        <v/>
      </c>
      <c r="P27" s="67" t="str">
        <f>IF(AND('Mapa final'!$AA$16="Media",'Mapa final'!$AC$16="Menor"),CONCATENATE("R2C",'Mapa final'!$Q$16),"")</f>
        <v/>
      </c>
      <c r="Q27" s="68" t="str">
        <f>IF(AND('Mapa final'!$AA$17="Media",'Mapa final'!$AC$17="Menor"),CONCATENATE("R2C",'Mapa final'!$Q$17),"")</f>
        <v/>
      </c>
      <c r="R27" s="68" t="str">
        <f>IF(AND('Mapa final'!$AA$18="Media",'Mapa final'!$AC$18="Menor"),CONCATENATE("R2C",'Mapa final'!$Q$18),"")</f>
        <v/>
      </c>
      <c r="S27" s="68" t="str">
        <f>IF(AND('Mapa final'!$AA$19="Media",'Mapa final'!$AC$19="Menor"),CONCATENATE("R2C",'Mapa final'!$Q$19),"")</f>
        <v/>
      </c>
      <c r="T27" s="68" t="str">
        <f>IF(AND('Mapa final'!$AA$20="Media",'Mapa final'!$AC$20="Menor"),CONCATENATE("R2C",'Mapa final'!$Q$20),"")</f>
        <v/>
      </c>
      <c r="U27" s="69" t="str">
        <f>IF(AND('Mapa final'!$AA$21="Media",'Mapa final'!$AC$21="Menor"),CONCATENATE("R2C",'Mapa final'!$Q$21),"")</f>
        <v/>
      </c>
      <c r="V27" s="67" t="str">
        <f>IF(AND('Mapa final'!$AA$16="Media",'Mapa final'!$AC$16="Moderado"),CONCATENATE("R2C",'Mapa final'!$Q$16),"")</f>
        <v/>
      </c>
      <c r="W27" s="68" t="str">
        <f>IF(AND('Mapa final'!$AA$17="Media",'Mapa final'!$AC$17="Moderado"),CONCATENATE("R2C",'Mapa final'!$Q$17),"")</f>
        <v/>
      </c>
      <c r="X27" s="68" t="str">
        <f>IF(AND('Mapa final'!$AA$18="Media",'Mapa final'!$AC$18="Moderado"),CONCATENATE("R2C",'Mapa final'!$Q$18),"")</f>
        <v/>
      </c>
      <c r="Y27" s="68" t="str">
        <f>IF(AND('Mapa final'!$AA$19="Media",'Mapa final'!$AC$19="Moderado"),CONCATENATE("R2C",'Mapa final'!$Q$19),"")</f>
        <v/>
      </c>
      <c r="Z27" s="68" t="str">
        <f>IF(AND('Mapa final'!$AA$20="Media",'Mapa final'!$AC$20="Moderado"),CONCATENATE("R2C",'Mapa final'!$Q$20),"")</f>
        <v/>
      </c>
      <c r="AA27" s="69" t="str">
        <f>IF(AND('Mapa final'!$AA$21="Media",'Mapa final'!$AC$21="Moderado"),CONCATENATE("R2C",'Mapa final'!$Q$21),"")</f>
        <v/>
      </c>
      <c r="AB27" s="52" t="str">
        <f>IF(AND('Mapa final'!$AA$16="Media",'Mapa final'!$AC$16="Mayor"),CONCATENATE("R2C",'Mapa final'!$Q$16),"")</f>
        <v/>
      </c>
      <c r="AC27" s="53" t="str">
        <f>IF(AND('Mapa final'!$AA$17="Media",'Mapa final'!$AC$17="Mayor"),CONCATENATE("R2C",'Mapa final'!$Q$17),"")</f>
        <v/>
      </c>
      <c r="AD27" s="53" t="str">
        <f>IF(AND('Mapa final'!$AA$18="Media",'Mapa final'!$AC$18="Mayor"),CONCATENATE("R2C",'Mapa final'!$Q$18),"")</f>
        <v/>
      </c>
      <c r="AE27" s="53" t="str">
        <f>IF(AND('Mapa final'!$AA$19="Media",'Mapa final'!$AC$19="Mayor"),CONCATENATE("R2C",'Mapa final'!$Q$19),"")</f>
        <v/>
      </c>
      <c r="AF27" s="53" t="str">
        <f>IF(AND('Mapa final'!$AA$20="Media",'Mapa final'!$AC$20="Mayor"),CONCATENATE("R2C",'Mapa final'!$Q$20),"")</f>
        <v/>
      </c>
      <c r="AG27" s="54" t="str">
        <f>IF(AND('Mapa final'!$AA$21="Media",'Mapa final'!$AC$21="Mayor"),CONCATENATE("R2C",'Mapa final'!$Q$21),"")</f>
        <v/>
      </c>
      <c r="AH27" s="55" t="str">
        <f>IF(AND('Mapa final'!$AA$16="Media",'Mapa final'!$AC$16="Catastrófico"),CONCATENATE("R2C",'Mapa final'!$Q$16),"")</f>
        <v/>
      </c>
      <c r="AI27" s="56" t="str">
        <f>IF(AND('Mapa final'!$AA$17="Media",'Mapa final'!$AC$17="Catastrófico"),CONCATENATE("R2C",'Mapa final'!$Q$17),"")</f>
        <v/>
      </c>
      <c r="AJ27" s="56" t="str">
        <f>IF(AND('Mapa final'!$AA$18="Media",'Mapa final'!$AC$18="Catastrófico"),CONCATENATE("R2C",'Mapa final'!$Q$18),"")</f>
        <v/>
      </c>
      <c r="AK27" s="56" t="str">
        <f>IF(AND('Mapa final'!$AA$19="Media",'Mapa final'!$AC$19="Catastrófico"),CONCATENATE("R2C",'Mapa final'!$Q$19),"")</f>
        <v/>
      </c>
      <c r="AL27" s="56" t="str">
        <f>IF(AND('Mapa final'!$AA$20="Media",'Mapa final'!$AC$20="Catastrófico"),CONCATENATE("R2C",'Mapa final'!$Q$20),"")</f>
        <v/>
      </c>
      <c r="AM27" s="57" t="str">
        <f>IF(AND('Mapa final'!$AA$21="Media",'Mapa final'!$AC$21="Catastrófico"),CONCATENATE("R2C",'Mapa final'!$Q$21),"")</f>
        <v/>
      </c>
      <c r="AN27" s="83"/>
      <c r="AO27" s="371"/>
      <c r="AP27" s="372"/>
      <c r="AQ27" s="372"/>
      <c r="AR27" s="372"/>
      <c r="AS27" s="372"/>
      <c r="AT27" s="37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43"/>
      <c r="C28" s="243"/>
      <c r="D28" s="244"/>
      <c r="E28" s="342"/>
      <c r="F28" s="341"/>
      <c r="G28" s="341"/>
      <c r="H28" s="341"/>
      <c r="I28" s="357"/>
      <c r="J28" s="67" t="str">
        <f>IF(AND('Mapa final'!$AA$22="Media",'Mapa final'!$AC$22="Leve"),CONCATENATE("R3C",'Mapa final'!$Q$22),"")</f>
        <v/>
      </c>
      <c r="K28" s="68" t="str">
        <f>IF(AND('Mapa final'!$AA$23="Media",'Mapa final'!$AC$23="Leve"),CONCATENATE("R3C",'Mapa final'!$Q$23),"")</f>
        <v/>
      </c>
      <c r="L28" s="68" t="str">
        <f>IF(AND('Mapa final'!$AA$24="Media",'Mapa final'!$AC$24="Leve"),CONCATENATE("R3C",'Mapa final'!$Q$24),"")</f>
        <v/>
      </c>
      <c r="M28" s="68" t="str">
        <f>IF(AND('Mapa final'!$AA$25="Media",'Mapa final'!$AC$25="Leve"),CONCATENATE("R3C",'Mapa final'!$Q$25),"")</f>
        <v/>
      </c>
      <c r="N28" s="68" t="str">
        <f>IF(AND('Mapa final'!$AA$26="Media",'Mapa final'!$AC$26="Leve"),CONCATENATE("R3C",'Mapa final'!$Q$26),"")</f>
        <v/>
      </c>
      <c r="O28" s="69" t="str">
        <f>IF(AND('Mapa final'!$AA$27="Media",'Mapa final'!$AC$27="Leve"),CONCATENATE("R3C",'Mapa final'!$Q$27),"")</f>
        <v/>
      </c>
      <c r="P28" s="67" t="str">
        <f>IF(AND('Mapa final'!$AA$22="Media",'Mapa final'!$AC$22="Menor"),CONCATENATE("R3C",'Mapa final'!$Q$22),"")</f>
        <v/>
      </c>
      <c r="Q28" s="68" t="str">
        <f>IF(AND('Mapa final'!$AA$23="Media",'Mapa final'!$AC$23="Menor"),CONCATENATE("R3C",'Mapa final'!$Q$23),"")</f>
        <v/>
      </c>
      <c r="R28" s="68" t="str">
        <f>IF(AND('Mapa final'!$AA$24="Media",'Mapa final'!$AC$24="Menor"),CONCATENATE("R3C",'Mapa final'!$Q$24),"")</f>
        <v/>
      </c>
      <c r="S28" s="68" t="str">
        <f>IF(AND('Mapa final'!$AA$25="Media",'Mapa final'!$AC$25="Menor"),CONCATENATE("R3C",'Mapa final'!$Q$25),"")</f>
        <v/>
      </c>
      <c r="T28" s="68" t="str">
        <f>IF(AND('Mapa final'!$AA$26="Media",'Mapa final'!$AC$26="Menor"),CONCATENATE("R3C",'Mapa final'!$Q$26),"")</f>
        <v/>
      </c>
      <c r="U28" s="69" t="str">
        <f>IF(AND('Mapa final'!$AA$27="Media",'Mapa final'!$AC$27="Menor"),CONCATENATE("R3C",'Mapa final'!$Q$27),"")</f>
        <v/>
      </c>
      <c r="V28" s="67" t="str">
        <f>IF(AND('Mapa final'!$AA$22="Media",'Mapa final'!$AC$22="Moderado"),CONCATENATE("R3C",'Mapa final'!$Q$22),"")</f>
        <v/>
      </c>
      <c r="W28" s="68" t="str">
        <f>IF(AND('Mapa final'!$AA$23="Media",'Mapa final'!$AC$23="Moderado"),CONCATENATE("R3C",'Mapa final'!$Q$23),"")</f>
        <v/>
      </c>
      <c r="X28" s="68" t="str">
        <f>IF(AND('Mapa final'!$AA$24="Media",'Mapa final'!$AC$24="Moderado"),CONCATENATE("R3C",'Mapa final'!$Q$24),"")</f>
        <v/>
      </c>
      <c r="Y28" s="68" t="str">
        <f>IF(AND('Mapa final'!$AA$25="Media",'Mapa final'!$AC$25="Moderado"),CONCATENATE("R3C",'Mapa final'!$Q$25),"")</f>
        <v/>
      </c>
      <c r="Z28" s="68" t="str">
        <f>IF(AND('Mapa final'!$AA$26="Media",'Mapa final'!$AC$26="Moderado"),CONCATENATE("R3C",'Mapa final'!$Q$26),"")</f>
        <v/>
      </c>
      <c r="AA28" s="69" t="str">
        <f>IF(AND('Mapa final'!$AA$27="Media",'Mapa final'!$AC$27="Moderado"),CONCATENATE("R3C",'Mapa final'!$Q$27),"")</f>
        <v/>
      </c>
      <c r="AB28" s="52" t="str">
        <f>IF(AND('Mapa final'!$AA$22="Media",'Mapa final'!$AC$22="Mayor"),CONCATENATE("R3C",'Mapa final'!$Q$22),"")</f>
        <v/>
      </c>
      <c r="AC28" s="53" t="str">
        <f>IF(AND('Mapa final'!$AA$23="Media",'Mapa final'!$AC$23="Mayor"),CONCATENATE("R3C",'Mapa final'!$Q$23),"")</f>
        <v/>
      </c>
      <c r="AD28" s="53" t="str">
        <f>IF(AND('Mapa final'!$AA$24="Media",'Mapa final'!$AC$24="Mayor"),CONCATENATE("R3C",'Mapa final'!$Q$24),"")</f>
        <v/>
      </c>
      <c r="AE28" s="53" t="str">
        <f>IF(AND('Mapa final'!$AA$25="Media",'Mapa final'!$AC$25="Mayor"),CONCATENATE("R3C",'Mapa final'!$Q$25),"")</f>
        <v/>
      </c>
      <c r="AF28" s="53" t="str">
        <f>IF(AND('Mapa final'!$AA$26="Media",'Mapa final'!$AC$26="Mayor"),CONCATENATE("R3C",'Mapa final'!$Q$26),"")</f>
        <v/>
      </c>
      <c r="AG28" s="54" t="str">
        <f>IF(AND('Mapa final'!$AA$27="Media",'Mapa final'!$AC$27="Mayor"),CONCATENATE("R3C",'Mapa final'!$Q$27),"")</f>
        <v/>
      </c>
      <c r="AH28" s="55" t="str">
        <f>IF(AND('Mapa final'!$AA$22="Media",'Mapa final'!$AC$22="Catastrófico"),CONCATENATE("R3C",'Mapa final'!$Q$22),"")</f>
        <v/>
      </c>
      <c r="AI28" s="56" t="str">
        <f>IF(AND('Mapa final'!$AA$23="Media",'Mapa final'!$AC$23="Catastrófico"),CONCATENATE("R3C",'Mapa final'!$Q$23),"")</f>
        <v/>
      </c>
      <c r="AJ28" s="56" t="str">
        <f>IF(AND('Mapa final'!$AA$24="Media",'Mapa final'!$AC$24="Catastrófico"),CONCATENATE("R3C",'Mapa final'!$Q$24),"")</f>
        <v/>
      </c>
      <c r="AK28" s="56" t="str">
        <f>IF(AND('Mapa final'!$AA$25="Media",'Mapa final'!$AC$25="Catastrófico"),CONCATENATE("R3C",'Mapa final'!$Q$25),"")</f>
        <v/>
      </c>
      <c r="AL28" s="56" t="str">
        <f>IF(AND('Mapa final'!$AA$26="Media",'Mapa final'!$AC$26="Catastrófico"),CONCATENATE("R3C",'Mapa final'!$Q$26),"")</f>
        <v/>
      </c>
      <c r="AM28" s="57" t="str">
        <f>IF(AND('Mapa final'!$AA$27="Media",'Mapa final'!$AC$27="Catastrófico"),CONCATENATE("R3C",'Mapa final'!$Q$27),"")</f>
        <v/>
      </c>
      <c r="AN28" s="83"/>
      <c r="AO28" s="371"/>
      <c r="AP28" s="372"/>
      <c r="AQ28" s="372"/>
      <c r="AR28" s="372"/>
      <c r="AS28" s="372"/>
      <c r="AT28" s="37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43"/>
      <c r="C29" s="243"/>
      <c r="D29" s="244"/>
      <c r="E29" s="342"/>
      <c r="F29" s="341"/>
      <c r="G29" s="341"/>
      <c r="H29" s="341"/>
      <c r="I29" s="357"/>
      <c r="J29" s="67" t="str">
        <f>IF(AND('Mapa final'!$AA$28="Media",'Mapa final'!$AC$28="Leve"),CONCATENATE("R4C",'Mapa final'!$Q$28),"")</f>
        <v/>
      </c>
      <c r="K29" s="68" t="str">
        <f>IF(AND('Mapa final'!$AA$29="Media",'Mapa final'!$AC$29="Leve"),CONCATENATE("R4C",'Mapa final'!$Q$29),"")</f>
        <v/>
      </c>
      <c r="L29" s="68" t="str">
        <f>IF(AND('Mapa final'!$AA$30="Media",'Mapa final'!$AC$30="Leve"),CONCATENATE("R4C",'Mapa final'!$Q$30),"")</f>
        <v/>
      </c>
      <c r="M29" s="68" t="str">
        <f>IF(AND('Mapa final'!$AA$31="Media",'Mapa final'!$AC$31="Leve"),CONCATENATE("R4C",'Mapa final'!$Q$31),"")</f>
        <v/>
      </c>
      <c r="N29" s="68" t="str">
        <f>IF(AND('Mapa final'!$AA$32="Media",'Mapa final'!$AC$32="Leve"),CONCATENATE("R4C",'Mapa final'!$Q$32),"")</f>
        <v/>
      </c>
      <c r="O29" s="69" t="str">
        <f>IF(AND('Mapa final'!$AA$33="Media",'Mapa final'!$AC$33="Leve"),CONCATENATE("R4C",'Mapa final'!$Q$33),"")</f>
        <v/>
      </c>
      <c r="P29" s="67" t="str">
        <f>IF(AND('Mapa final'!$AA$28="Media",'Mapa final'!$AC$28="Menor"),CONCATENATE("R4C",'Mapa final'!$Q$28),"")</f>
        <v/>
      </c>
      <c r="Q29" s="68" t="str">
        <f>IF(AND('Mapa final'!$AA$29="Media",'Mapa final'!$AC$29="Menor"),CONCATENATE("R4C",'Mapa final'!$Q$29),"")</f>
        <v/>
      </c>
      <c r="R29" s="68" t="str">
        <f>IF(AND('Mapa final'!$AA$30="Media",'Mapa final'!$AC$30="Menor"),CONCATENATE("R4C",'Mapa final'!$Q$30),"")</f>
        <v/>
      </c>
      <c r="S29" s="68" t="str">
        <f>IF(AND('Mapa final'!$AA$31="Media",'Mapa final'!$AC$31="Menor"),CONCATENATE("R4C",'Mapa final'!$Q$31),"")</f>
        <v/>
      </c>
      <c r="T29" s="68" t="str">
        <f>IF(AND('Mapa final'!$AA$32="Media",'Mapa final'!$AC$32="Menor"),CONCATENATE("R4C",'Mapa final'!$Q$32),"")</f>
        <v/>
      </c>
      <c r="U29" s="69" t="str">
        <f>IF(AND('Mapa final'!$AA$33="Media",'Mapa final'!$AC$33="Menor"),CONCATENATE("R4C",'Mapa final'!$Q$33),"")</f>
        <v/>
      </c>
      <c r="V29" s="67" t="str">
        <f>IF(AND('Mapa final'!$AA$28="Media",'Mapa final'!$AC$28="Moderado"),CONCATENATE("R4C",'Mapa final'!$Q$28),"")</f>
        <v/>
      </c>
      <c r="W29" s="68" t="str">
        <f>IF(AND('Mapa final'!$AA$29="Media",'Mapa final'!$AC$29="Moderado"),CONCATENATE("R4C",'Mapa final'!$Q$29),"")</f>
        <v/>
      </c>
      <c r="X29" s="68" t="str">
        <f>IF(AND('Mapa final'!$AA$30="Media",'Mapa final'!$AC$30="Moderado"),CONCATENATE("R4C",'Mapa final'!$Q$30),"")</f>
        <v/>
      </c>
      <c r="Y29" s="68" t="str">
        <f>IF(AND('Mapa final'!$AA$31="Media",'Mapa final'!$AC$31="Moderado"),CONCATENATE("R4C",'Mapa final'!$Q$31),"")</f>
        <v/>
      </c>
      <c r="Z29" s="68" t="str">
        <f>IF(AND('Mapa final'!$AA$32="Media",'Mapa final'!$AC$32="Moderado"),CONCATENATE("R4C",'Mapa final'!$Q$32),"")</f>
        <v/>
      </c>
      <c r="AA29" s="69" t="str">
        <f>IF(AND('Mapa final'!$AA$33="Media",'Mapa final'!$AC$33="Moderado"),CONCATENATE("R4C",'Mapa final'!$Q$33),"")</f>
        <v/>
      </c>
      <c r="AB29" s="52" t="str">
        <f>IF(AND('Mapa final'!$AA$28="Media",'Mapa final'!$AC$28="Mayor"),CONCATENATE("R4C",'Mapa final'!$Q$28),"")</f>
        <v/>
      </c>
      <c r="AC29" s="53" t="str">
        <f>IF(AND('Mapa final'!$AA$29="Media",'Mapa final'!$AC$29="Mayor"),CONCATENATE("R4C",'Mapa final'!$Q$29),"")</f>
        <v/>
      </c>
      <c r="AD29" s="53" t="str">
        <f>IF(AND('Mapa final'!$AA$30="Media",'Mapa final'!$AC$30="Mayor"),CONCATENATE("R4C",'Mapa final'!$Q$30),"")</f>
        <v/>
      </c>
      <c r="AE29" s="53" t="str">
        <f>IF(AND('Mapa final'!$AA$31="Media",'Mapa final'!$AC$31="Mayor"),CONCATENATE("R4C",'Mapa final'!$Q$31),"")</f>
        <v/>
      </c>
      <c r="AF29" s="53" t="str">
        <f>IF(AND('Mapa final'!$AA$32="Media",'Mapa final'!$AC$32="Mayor"),CONCATENATE("R4C",'Mapa final'!$Q$32),"")</f>
        <v/>
      </c>
      <c r="AG29" s="54" t="str">
        <f>IF(AND('Mapa final'!$AA$33="Media",'Mapa final'!$AC$33="Mayor"),CONCATENATE("R4C",'Mapa final'!$Q$33),"")</f>
        <v/>
      </c>
      <c r="AH29" s="55" t="str">
        <f>IF(AND('Mapa final'!$AA$28="Media",'Mapa final'!$AC$28="Catastrófico"),CONCATENATE("R4C",'Mapa final'!$Q$28),"")</f>
        <v/>
      </c>
      <c r="AI29" s="56" t="str">
        <f>IF(AND('Mapa final'!$AA$29="Media",'Mapa final'!$AC$29="Catastrófico"),CONCATENATE("R4C",'Mapa final'!$Q$29),"")</f>
        <v/>
      </c>
      <c r="AJ29" s="56" t="str">
        <f>IF(AND('Mapa final'!$AA$30="Media",'Mapa final'!$AC$30="Catastrófico"),CONCATENATE("R4C",'Mapa final'!$Q$30),"")</f>
        <v/>
      </c>
      <c r="AK29" s="56" t="str">
        <f>IF(AND('Mapa final'!$AA$31="Media",'Mapa final'!$AC$31="Catastrófico"),CONCATENATE("R4C",'Mapa final'!$Q$31),"")</f>
        <v/>
      </c>
      <c r="AL29" s="56" t="str">
        <f>IF(AND('Mapa final'!$AA$32="Media",'Mapa final'!$AC$32="Catastrófico"),CONCATENATE("R4C",'Mapa final'!$Q$32),"")</f>
        <v/>
      </c>
      <c r="AM29" s="57" t="str">
        <f>IF(AND('Mapa final'!$AA$33="Media",'Mapa final'!$AC$33="Catastrófico"),CONCATENATE("R4C",'Mapa final'!$Q$33),"")</f>
        <v/>
      </c>
      <c r="AN29" s="83"/>
      <c r="AO29" s="371"/>
      <c r="AP29" s="372"/>
      <c r="AQ29" s="372"/>
      <c r="AR29" s="372"/>
      <c r="AS29" s="372"/>
      <c r="AT29" s="3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43"/>
      <c r="C30" s="243"/>
      <c r="D30" s="244"/>
      <c r="E30" s="342"/>
      <c r="F30" s="341"/>
      <c r="G30" s="341"/>
      <c r="H30" s="341"/>
      <c r="I30" s="357"/>
      <c r="J30" s="67" t="str">
        <f>IF(AND('Mapa final'!$AA$34="Media",'Mapa final'!$AC$34="Leve"),CONCATENATE("R5C",'Mapa final'!$Q$34),"")</f>
        <v/>
      </c>
      <c r="K30" s="68" t="str">
        <f>IF(AND('Mapa final'!$AA$35="Media",'Mapa final'!$AC$35="Leve"),CONCATENATE("R5C",'Mapa final'!$Q$35),"")</f>
        <v/>
      </c>
      <c r="L30" s="68" t="str">
        <f>IF(AND('Mapa final'!$AA$36="Media",'Mapa final'!$AC$36="Leve"),CONCATENATE("R5C",'Mapa final'!$Q$36),"")</f>
        <v/>
      </c>
      <c r="M30" s="68" t="str">
        <f>IF(AND('Mapa final'!$AA$37="Media",'Mapa final'!$AC$37="Leve"),CONCATENATE("R5C",'Mapa final'!$Q$37),"")</f>
        <v/>
      </c>
      <c r="N30" s="68" t="str">
        <f>IF(AND('Mapa final'!$AA$38="Media",'Mapa final'!$AC$38="Leve"),CONCATENATE("R5C",'Mapa final'!$Q$38),"")</f>
        <v/>
      </c>
      <c r="O30" s="69" t="str">
        <f>IF(AND('Mapa final'!$AA$39="Media",'Mapa final'!$AC$39="Leve"),CONCATENATE("R5C",'Mapa final'!$Q$39),"")</f>
        <v/>
      </c>
      <c r="P30" s="67" t="str">
        <f>IF(AND('Mapa final'!$AA$34="Media",'Mapa final'!$AC$34="Menor"),CONCATENATE("R5C",'Mapa final'!$Q$34),"")</f>
        <v/>
      </c>
      <c r="Q30" s="68" t="str">
        <f>IF(AND('Mapa final'!$AA$35="Media",'Mapa final'!$AC$35="Menor"),CONCATENATE("R5C",'Mapa final'!$Q$35),"")</f>
        <v/>
      </c>
      <c r="R30" s="68" t="str">
        <f>IF(AND('Mapa final'!$AA$36="Media",'Mapa final'!$AC$36="Menor"),CONCATENATE("R5C",'Mapa final'!$Q$36),"")</f>
        <v/>
      </c>
      <c r="S30" s="68" t="str">
        <f>IF(AND('Mapa final'!$AA$37="Media",'Mapa final'!$AC$37="Menor"),CONCATENATE("R5C",'Mapa final'!$Q$37),"")</f>
        <v/>
      </c>
      <c r="T30" s="68" t="str">
        <f>IF(AND('Mapa final'!$AA$38="Media",'Mapa final'!$AC$38="Menor"),CONCATENATE("R5C",'Mapa final'!$Q$38),"")</f>
        <v/>
      </c>
      <c r="U30" s="69" t="str">
        <f>IF(AND('Mapa final'!$AA$39="Media",'Mapa final'!$AC$39="Menor"),CONCATENATE("R5C",'Mapa final'!$Q$39),"")</f>
        <v/>
      </c>
      <c r="V30" s="67" t="str">
        <f>IF(AND('Mapa final'!$AA$34="Media",'Mapa final'!$AC$34="Moderado"),CONCATENATE("R5C",'Mapa final'!$Q$34),"")</f>
        <v/>
      </c>
      <c r="W30" s="68" t="str">
        <f>IF(AND('Mapa final'!$AA$35="Media",'Mapa final'!$AC$35="Moderado"),CONCATENATE("R5C",'Mapa final'!$Q$35),"")</f>
        <v/>
      </c>
      <c r="X30" s="68" t="str">
        <f>IF(AND('Mapa final'!$AA$36="Media",'Mapa final'!$AC$36="Moderado"),CONCATENATE("R5C",'Mapa final'!$Q$36),"")</f>
        <v/>
      </c>
      <c r="Y30" s="68" t="str">
        <f>IF(AND('Mapa final'!$AA$37="Media",'Mapa final'!$AC$37="Moderado"),CONCATENATE("R5C",'Mapa final'!$Q$37),"")</f>
        <v/>
      </c>
      <c r="Z30" s="68" t="str">
        <f>IF(AND('Mapa final'!$AA$38="Media",'Mapa final'!$AC$38="Moderado"),CONCATENATE("R5C",'Mapa final'!$Q$38),"")</f>
        <v/>
      </c>
      <c r="AA30" s="69" t="str">
        <f>IF(AND('Mapa final'!$AA$39="Media",'Mapa final'!$AC$39="Moderado"),CONCATENATE("R5C",'Mapa final'!$Q$39),"")</f>
        <v/>
      </c>
      <c r="AB30" s="52" t="str">
        <f>IF(AND('Mapa final'!$AA$34="Media",'Mapa final'!$AC$34="Mayor"),CONCATENATE("R5C",'Mapa final'!$Q$34),"")</f>
        <v/>
      </c>
      <c r="AC30" s="53" t="str">
        <f>IF(AND('Mapa final'!$AA$35="Media",'Mapa final'!$AC$35="Mayor"),CONCATENATE("R5C",'Mapa final'!$Q$35),"")</f>
        <v/>
      </c>
      <c r="AD30" s="53" t="str">
        <f>IF(AND('Mapa final'!$AA$36="Media",'Mapa final'!$AC$36="Mayor"),CONCATENATE("R5C",'Mapa final'!$Q$36),"")</f>
        <v/>
      </c>
      <c r="AE30" s="53" t="str">
        <f>IF(AND('Mapa final'!$AA$37="Media",'Mapa final'!$AC$37="Mayor"),CONCATENATE("R5C",'Mapa final'!$Q$37),"")</f>
        <v/>
      </c>
      <c r="AF30" s="53" t="str">
        <f>IF(AND('Mapa final'!$AA$38="Media",'Mapa final'!$AC$38="Mayor"),CONCATENATE("R5C",'Mapa final'!$Q$38),"")</f>
        <v/>
      </c>
      <c r="AG30" s="54" t="str">
        <f>IF(AND('Mapa final'!$AA$39="Media",'Mapa final'!$AC$39="Mayor"),CONCATENATE("R5C",'Mapa final'!$Q$39),"")</f>
        <v/>
      </c>
      <c r="AH30" s="55" t="str">
        <f>IF(AND('Mapa final'!$AA$34="Media",'Mapa final'!$AC$34="Catastrófico"),CONCATENATE("R5C",'Mapa final'!$Q$34),"")</f>
        <v/>
      </c>
      <c r="AI30" s="56" t="str">
        <f>IF(AND('Mapa final'!$AA$35="Media",'Mapa final'!$AC$35="Catastrófico"),CONCATENATE("R5C",'Mapa final'!$Q$35),"")</f>
        <v/>
      </c>
      <c r="AJ30" s="56" t="str">
        <f>IF(AND('Mapa final'!$AA$36="Media",'Mapa final'!$AC$36="Catastrófico"),CONCATENATE("R5C",'Mapa final'!$Q$36),"")</f>
        <v/>
      </c>
      <c r="AK30" s="56" t="str">
        <f>IF(AND('Mapa final'!$AA$37="Media",'Mapa final'!$AC$37="Catastrófico"),CONCATENATE("R5C",'Mapa final'!$Q$37),"")</f>
        <v/>
      </c>
      <c r="AL30" s="56" t="str">
        <f>IF(AND('Mapa final'!$AA$38="Media",'Mapa final'!$AC$38="Catastrófico"),CONCATENATE("R5C",'Mapa final'!$Q$38),"")</f>
        <v/>
      </c>
      <c r="AM30" s="57" t="str">
        <f>IF(AND('Mapa final'!$AA$39="Media",'Mapa final'!$AC$39="Catastrófico"),CONCATENATE("R5C",'Mapa final'!$Q$39),"")</f>
        <v/>
      </c>
      <c r="AN30" s="83"/>
      <c r="AO30" s="371"/>
      <c r="AP30" s="372"/>
      <c r="AQ30" s="372"/>
      <c r="AR30" s="372"/>
      <c r="AS30" s="372"/>
      <c r="AT30" s="37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43"/>
      <c r="C31" s="243"/>
      <c r="D31" s="244"/>
      <c r="E31" s="342"/>
      <c r="F31" s="341"/>
      <c r="G31" s="341"/>
      <c r="H31" s="341"/>
      <c r="I31" s="357"/>
      <c r="J31" s="67" t="str">
        <f>IF(AND('Mapa final'!$AA$40="Media",'Mapa final'!$AC$40="Leve"),CONCATENATE("R6C",'Mapa final'!$Q$40),"")</f>
        <v/>
      </c>
      <c r="K31" s="68" t="str">
        <f>IF(AND('Mapa final'!$AA$41="Media",'Mapa final'!$AC$41="Leve"),CONCATENATE("R6C",'Mapa final'!$Q$41),"")</f>
        <v/>
      </c>
      <c r="L31" s="68" t="str">
        <f>IF(AND('Mapa final'!$AA$42="Media",'Mapa final'!$AC$42="Leve"),CONCATENATE("R6C",'Mapa final'!$Q$42),"")</f>
        <v/>
      </c>
      <c r="M31" s="68" t="str">
        <f>IF(AND('Mapa final'!$AA$43="Media",'Mapa final'!$AC$43="Leve"),CONCATENATE("R6C",'Mapa final'!$Q$43),"")</f>
        <v/>
      </c>
      <c r="N31" s="68" t="str">
        <f>IF(AND('Mapa final'!$AA$44="Media",'Mapa final'!$AC$44="Leve"),CONCATENATE("R6C",'Mapa final'!$Q$44),"")</f>
        <v/>
      </c>
      <c r="O31" s="69" t="str">
        <f>IF(AND('Mapa final'!$AA$45="Media",'Mapa final'!$AC$45="Leve"),CONCATENATE("R6C",'Mapa final'!$Q$45),"")</f>
        <v/>
      </c>
      <c r="P31" s="67" t="str">
        <f>IF(AND('Mapa final'!$AA$40="Media",'Mapa final'!$AC$40="Menor"),CONCATENATE("R6C",'Mapa final'!$Q$40),"")</f>
        <v/>
      </c>
      <c r="Q31" s="68" t="str">
        <f>IF(AND('Mapa final'!$AA$41="Media",'Mapa final'!$AC$41="Menor"),CONCATENATE("R6C",'Mapa final'!$Q$41),"")</f>
        <v/>
      </c>
      <c r="R31" s="68" t="str">
        <f>IF(AND('Mapa final'!$AA$42="Media",'Mapa final'!$AC$42="Menor"),CONCATENATE("R6C",'Mapa final'!$Q$42),"")</f>
        <v/>
      </c>
      <c r="S31" s="68" t="str">
        <f>IF(AND('Mapa final'!$AA$43="Media",'Mapa final'!$AC$43="Menor"),CONCATENATE("R6C",'Mapa final'!$Q$43),"")</f>
        <v/>
      </c>
      <c r="T31" s="68" t="str">
        <f>IF(AND('Mapa final'!$AA$44="Media",'Mapa final'!$AC$44="Menor"),CONCATENATE("R6C",'Mapa final'!$Q$44),"")</f>
        <v/>
      </c>
      <c r="U31" s="69" t="str">
        <f>IF(AND('Mapa final'!$AA$45="Media",'Mapa final'!$AC$45="Menor"),CONCATENATE("R6C",'Mapa final'!$Q$45),"")</f>
        <v/>
      </c>
      <c r="V31" s="67" t="str">
        <f>IF(AND('Mapa final'!$AA$40="Media",'Mapa final'!$AC$40="Moderado"),CONCATENATE("R6C",'Mapa final'!$Q$40),"")</f>
        <v/>
      </c>
      <c r="W31" s="68" t="str">
        <f>IF(AND('Mapa final'!$AA$41="Media",'Mapa final'!$AC$41="Moderado"),CONCATENATE("R6C",'Mapa final'!$Q$41),"")</f>
        <v/>
      </c>
      <c r="X31" s="68" t="str">
        <f>IF(AND('Mapa final'!$AA$42="Media",'Mapa final'!$AC$42="Moderado"),CONCATENATE("R6C",'Mapa final'!$Q$42),"")</f>
        <v/>
      </c>
      <c r="Y31" s="68" t="str">
        <f>IF(AND('Mapa final'!$AA$43="Media",'Mapa final'!$AC$43="Moderado"),CONCATENATE("R6C",'Mapa final'!$Q$43),"")</f>
        <v/>
      </c>
      <c r="Z31" s="68" t="str">
        <f>IF(AND('Mapa final'!$AA$44="Media",'Mapa final'!$AC$44="Moderado"),CONCATENATE("R6C",'Mapa final'!$Q$44),"")</f>
        <v/>
      </c>
      <c r="AA31" s="69" t="str">
        <f>IF(AND('Mapa final'!$AA$45="Media",'Mapa final'!$AC$45="Moderado"),CONCATENATE("R6C",'Mapa final'!$Q$45),"")</f>
        <v/>
      </c>
      <c r="AB31" s="52" t="str">
        <f>IF(AND('Mapa final'!$AA$40="Media",'Mapa final'!$AC$40="Mayor"),CONCATENATE("R6C",'Mapa final'!$Q$40),"")</f>
        <v/>
      </c>
      <c r="AC31" s="53" t="str">
        <f>IF(AND('Mapa final'!$AA$41="Media",'Mapa final'!$AC$41="Mayor"),CONCATENATE("R6C",'Mapa final'!$Q$41),"")</f>
        <v/>
      </c>
      <c r="AD31" s="53" t="str">
        <f>IF(AND('Mapa final'!$AA$42="Media",'Mapa final'!$AC$42="Mayor"),CONCATENATE("R6C",'Mapa final'!$Q$42),"")</f>
        <v/>
      </c>
      <c r="AE31" s="53" t="str">
        <f>IF(AND('Mapa final'!$AA$43="Media",'Mapa final'!$AC$43="Mayor"),CONCATENATE("R6C",'Mapa final'!$Q$43),"")</f>
        <v/>
      </c>
      <c r="AF31" s="53" t="str">
        <f>IF(AND('Mapa final'!$AA$44="Media",'Mapa final'!$AC$44="Mayor"),CONCATENATE("R6C",'Mapa final'!$Q$44),"")</f>
        <v/>
      </c>
      <c r="AG31" s="54" t="str">
        <f>IF(AND('Mapa final'!$AA$45="Media",'Mapa final'!$AC$45="Mayor"),CONCATENATE("R6C",'Mapa final'!$Q$45),"")</f>
        <v/>
      </c>
      <c r="AH31" s="55" t="str">
        <f>IF(AND('Mapa final'!$AA$40="Media",'Mapa final'!$AC$40="Catastrófico"),CONCATENATE("R6C",'Mapa final'!$Q$40),"")</f>
        <v/>
      </c>
      <c r="AI31" s="56" t="str">
        <f>IF(AND('Mapa final'!$AA$41="Media",'Mapa final'!$AC$41="Catastrófico"),CONCATENATE("R6C",'Mapa final'!$Q$41),"")</f>
        <v/>
      </c>
      <c r="AJ31" s="56" t="str">
        <f>IF(AND('Mapa final'!$AA$42="Media",'Mapa final'!$AC$42="Catastrófico"),CONCATENATE("R6C",'Mapa final'!$Q$42),"")</f>
        <v/>
      </c>
      <c r="AK31" s="56" t="str">
        <f>IF(AND('Mapa final'!$AA$43="Media",'Mapa final'!$AC$43="Catastrófico"),CONCATENATE("R6C",'Mapa final'!$Q$43),"")</f>
        <v/>
      </c>
      <c r="AL31" s="56" t="str">
        <f>IF(AND('Mapa final'!$AA$44="Media",'Mapa final'!$AC$44="Catastrófico"),CONCATENATE("R6C",'Mapa final'!$Q$44),"")</f>
        <v/>
      </c>
      <c r="AM31" s="57" t="str">
        <f>IF(AND('Mapa final'!$AA$45="Media",'Mapa final'!$AC$45="Catastrófico"),CONCATENATE("R6C",'Mapa final'!$Q$45),"")</f>
        <v/>
      </c>
      <c r="AN31" s="83"/>
      <c r="AO31" s="371"/>
      <c r="AP31" s="372"/>
      <c r="AQ31" s="372"/>
      <c r="AR31" s="372"/>
      <c r="AS31" s="372"/>
      <c r="AT31" s="37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43"/>
      <c r="C32" s="243"/>
      <c r="D32" s="244"/>
      <c r="E32" s="342"/>
      <c r="F32" s="341"/>
      <c r="G32" s="341"/>
      <c r="H32" s="341"/>
      <c r="I32" s="357"/>
      <c r="J32" s="67" t="str">
        <f>IF(AND('Mapa final'!$AA$46="Media",'Mapa final'!$AC$46="Leve"),CONCATENATE("R7C",'Mapa final'!$Q$46),"")</f>
        <v/>
      </c>
      <c r="K32" s="68" t="str">
        <f>IF(AND('Mapa final'!$AA$47="Media",'Mapa final'!$AC$47="Leve"),CONCATENATE("R7C",'Mapa final'!$Q$47),"")</f>
        <v/>
      </c>
      <c r="L32" s="68" t="str">
        <f>IF(AND('Mapa final'!$AA$48="Media",'Mapa final'!$AC$48="Leve"),CONCATENATE("R7C",'Mapa final'!$Q$48),"")</f>
        <v/>
      </c>
      <c r="M32" s="68" t="str">
        <f>IF(AND('Mapa final'!$AA$49="Media",'Mapa final'!$AC$49="Leve"),CONCATENATE("R7C",'Mapa final'!$Q$49),"")</f>
        <v/>
      </c>
      <c r="N32" s="68" t="str">
        <f>IF(AND('Mapa final'!$AA$50="Media",'Mapa final'!$AC$50="Leve"),CONCATENATE("R7C",'Mapa final'!$Q$50),"")</f>
        <v/>
      </c>
      <c r="O32" s="69" t="str">
        <f>IF(AND('Mapa final'!$AA$51="Media",'Mapa final'!$AC$51="Leve"),CONCATENATE("R7C",'Mapa final'!$Q$51),"")</f>
        <v/>
      </c>
      <c r="P32" s="67" t="str">
        <f>IF(AND('Mapa final'!$AA$46="Media",'Mapa final'!$AC$46="Menor"),CONCATENATE("R7C",'Mapa final'!$Q$46),"")</f>
        <v/>
      </c>
      <c r="Q32" s="68" t="str">
        <f>IF(AND('Mapa final'!$AA$47="Media",'Mapa final'!$AC$47="Menor"),CONCATENATE("R7C",'Mapa final'!$Q$47),"")</f>
        <v/>
      </c>
      <c r="R32" s="68" t="str">
        <f>IF(AND('Mapa final'!$AA$48="Media",'Mapa final'!$AC$48="Menor"),CONCATENATE("R7C",'Mapa final'!$Q$48),"")</f>
        <v/>
      </c>
      <c r="S32" s="68" t="str">
        <f>IF(AND('Mapa final'!$AA$49="Media",'Mapa final'!$AC$49="Menor"),CONCATENATE("R7C",'Mapa final'!$Q$49),"")</f>
        <v/>
      </c>
      <c r="T32" s="68" t="str">
        <f>IF(AND('Mapa final'!$AA$50="Media",'Mapa final'!$AC$50="Menor"),CONCATENATE("R7C",'Mapa final'!$Q$50),"")</f>
        <v/>
      </c>
      <c r="U32" s="69" t="str">
        <f>IF(AND('Mapa final'!$AA$51="Media",'Mapa final'!$AC$51="Menor"),CONCATENATE("R7C",'Mapa final'!$Q$51),"")</f>
        <v/>
      </c>
      <c r="V32" s="67" t="str">
        <f>IF(AND('Mapa final'!$AA$46="Media",'Mapa final'!$AC$46="Moderado"),CONCATENATE("R7C",'Mapa final'!$Q$46),"")</f>
        <v/>
      </c>
      <c r="W32" s="68" t="str">
        <f>IF(AND('Mapa final'!$AA$47="Media",'Mapa final'!$AC$47="Moderado"),CONCATENATE("R7C",'Mapa final'!$Q$47),"")</f>
        <v/>
      </c>
      <c r="X32" s="68" t="str">
        <f>IF(AND('Mapa final'!$AA$48="Media",'Mapa final'!$AC$48="Moderado"),CONCATENATE("R7C",'Mapa final'!$Q$48),"")</f>
        <v/>
      </c>
      <c r="Y32" s="68" t="str">
        <f>IF(AND('Mapa final'!$AA$49="Media",'Mapa final'!$AC$49="Moderado"),CONCATENATE("R7C",'Mapa final'!$Q$49),"")</f>
        <v/>
      </c>
      <c r="Z32" s="68" t="str">
        <f>IF(AND('Mapa final'!$AA$50="Media",'Mapa final'!$AC$50="Moderado"),CONCATENATE("R7C",'Mapa final'!$Q$50),"")</f>
        <v/>
      </c>
      <c r="AA32" s="69" t="str">
        <f>IF(AND('Mapa final'!$AA$51="Media",'Mapa final'!$AC$51="Moderado"),CONCATENATE("R7C",'Mapa final'!$Q$51),"")</f>
        <v/>
      </c>
      <c r="AB32" s="52" t="str">
        <f>IF(AND('Mapa final'!$AA$46="Media",'Mapa final'!$AC$46="Mayor"),CONCATENATE("R7C",'Mapa final'!$Q$46),"")</f>
        <v/>
      </c>
      <c r="AC32" s="53" t="str">
        <f>IF(AND('Mapa final'!$AA$47="Media",'Mapa final'!$AC$47="Mayor"),CONCATENATE("R7C",'Mapa final'!$Q$47),"")</f>
        <v/>
      </c>
      <c r="AD32" s="53" t="str">
        <f>IF(AND('Mapa final'!$AA$48="Media",'Mapa final'!$AC$48="Mayor"),CONCATENATE("R7C",'Mapa final'!$Q$48),"")</f>
        <v/>
      </c>
      <c r="AE32" s="53" t="str">
        <f>IF(AND('Mapa final'!$AA$49="Media",'Mapa final'!$AC$49="Mayor"),CONCATENATE("R7C",'Mapa final'!$Q$49),"")</f>
        <v/>
      </c>
      <c r="AF32" s="53" t="str">
        <f>IF(AND('Mapa final'!$AA$50="Media",'Mapa final'!$AC$50="Mayor"),CONCATENATE("R7C",'Mapa final'!$Q$50),"")</f>
        <v/>
      </c>
      <c r="AG32" s="54" t="str">
        <f>IF(AND('Mapa final'!$AA$51="Media",'Mapa final'!$AC$51="Mayor"),CONCATENATE("R7C",'Mapa final'!$Q$51),"")</f>
        <v/>
      </c>
      <c r="AH32" s="55" t="str">
        <f>IF(AND('Mapa final'!$AA$46="Media",'Mapa final'!$AC$46="Catastrófico"),CONCATENATE("R7C",'Mapa final'!$Q$46),"")</f>
        <v/>
      </c>
      <c r="AI32" s="56" t="str">
        <f>IF(AND('Mapa final'!$AA$47="Media",'Mapa final'!$AC$47="Catastrófico"),CONCATENATE("R7C",'Mapa final'!$Q$47),"")</f>
        <v/>
      </c>
      <c r="AJ32" s="56" t="str">
        <f>IF(AND('Mapa final'!$AA$48="Media",'Mapa final'!$AC$48="Catastrófico"),CONCATENATE("R7C",'Mapa final'!$Q$48),"")</f>
        <v/>
      </c>
      <c r="AK32" s="56" t="str">
        <f>IF(AND('Mapa final'!$AA$49="Media",'Mapa final'!$AC$49="Catastrófico"),CONCATENATE("R7C",'Mapa final'!$Q$49),"")</f>
        <v/>
      </c>
      <c r="AL32" s="56" t="str">
        <f>IF(AND('Mapa final'!$AA$50="Media",'Mapa final'!$AC$50="Catastrófico"),CONCATENATE("R7C",'Mapa final'!$Q$50),"")</f>
        <v/>
      </c>
      <c r="AM32" s="57" t="str">
        <f>IF(AND('Mapa final'!$AA$51="Media",'Mapa final'!$AC$51="Catastrófico"),CONCATENATE("R7C",'Mapa final'!$Q$51),"")</f>
        <v/>
      </c>
      <c r="AN32" s="83"/>
      <c r="AO32" s="371"/>
      <c r="AP32" s="372"/>
      <c r="AQ32" s="372"/>
      <c r="AR32" s="372"/>
      <c r="AS32" s="372"/>
      <c r="AT32" s="37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43"/>
      <c r="C33" s="243"/>
      <c r="D33" s="244"/>
      <c r="E33" s="342"/>
      <c r="F33" s="341"/>
      <c r="G33" s="341"/>
      <c r="H33" s="341"/>
      <c r="I33" s="357"/>
      <c r="J33" s="67" t="str">
        <f>IF(AND('Mapa final'!$AA$52="Media",'Mapa final'!$AC$52="Leve"),CONCATENATE("R8C",'Mapa final'!$Q$52),"")</f>
        <v/>
      </c>
      <c r="K33" s="68" t="str">
        <f>IF(AND('Mapa final'!$AA$53="Media",'Mapa final'!$AC$53="Leve"),CONCATENATE("R8C",'Mapa final'!$Q$53),"")</f>
        <v/>
      </c>
      <c r="L33" s="68" t="str">
        <f>IF(AND('Mapa final'!$AA$54="Media",'Mapa final'!$AC$54="Leve"),CONCATENATE("R8C",'Mapa final'!$Q$54),"")</f>
        <v/>
      </c>
      <c r="M33" s="68" t="str">
        <f>IF(AND('Mapa final'!$AA$55="Media",'Mapa final'!$AC$55="Leve"),CONCATENATE("R8C",'Mapa final'!$Q$55),"")</f>
        <v/>
      </c>
      <c r="N33" s="68" t="str">
        <f>IF(AND('Mapa final'!$AA$56="Media",'Mapa final'!$AC$56="Leve"),CONCATENATE("R8C",'Mapa final'!$Q$56),"")</f>
        <v/>
      </c>
      <c r="O33" s="69" t="str">
        <f>IF(AND('Mapa final'!$AA$57="Media",'Mapa final'!$AC$57="Leve"),CONCATENATE("R8C",'Mapa final'!$Q$57),"")</f>
        <v/>
      </c>
      <c r="P33" s="67" t="str">
        <f>IF(AND('Mapa final'!$AA$52="Media",'Mapa final'!$AC$52="Menor"),CONCATENATE("R8C",'Mapa final'!$Q$52),"")</f>
        <v/>
      </c>
      <c r="Q33" s="68" t="str">
        <f>IF(AND('Mapa final'!$AA$53="Media",'Mapa final'!$AC$53="Menor"),CONCATENATE("R8C",'Mapa final'!$Q$53),"")</f>
        <v/>
      </c>
      <c r="R33" s="68" t="str">
        <f>IF(AND('Mapa final'!$AA$54="Media",'Mapa final'!$AC$54="Menor"),CONCATENATE("R8C",'Mapa final'!$Q$54),"")</f>
        <v/>
      </c>
      <c r="S33" s="68" t="str">
        <f>IF(AND('Mapa final'!$AA$55="Media",'Mapa final'!$AC$55="Menor"),CONCATENATE("R8C",'Mapa final'!$Q$55),"")</f>
        <v/>
      </c>
      <c r="T33" s="68" t="str">
        <f>IF(AND('Mapa final'!$AA$56="Media",'Mapa final'!$AC$56="Menor"),CONCATENATE("R8C",'Mapa final'!$Q$56),"")</f>
        <v/>
      </c>
      <c r="U33" s="69" t="str">
        <f>IF(AND('Mapa final'!$AA$57="Media",'Mapa final'!$AC$57="Menor"),CONCATENATE("R8C",'Mapa final'!$Q$57),"")</f>
        <v/>
      </c>
      <c r="V33" s="67" t="str">
        <f>IF(AND('Mapa final'!$AA$52="Media",'Mapa final'!$AC$52="Moderado"),CONCATENATE("R8C",'Mapa final'!$Q$52),"")</f>
        <v/>
      </c>
      <c r="W33" s="68" t="str">
        <f>IF(AND('Mapa final'!$AA$53="Media",'Mapa final'!$AC$53="Moderado"),CONCATENATE("R8C",'Mapa final'!$Q$53),"")</f>
        <v/>
      </c>
      <c r="X33" s="68" t="str">
        <f>IF(AND('Mapa final'!$AA$54="Media",'Mapa final'!$AC$54="Moderado"),CONCATENATE("R8C",'Mapa final'!$Q$54),"")</f>
        <v/>
      </c>
      <c r="Y33" s="68" t="str">
        <f>IF(AND('Mapa final'!$AA$55="Media",'Mapa final'!$AC$55="Moderado"),CONCATENATE("R8C",'Mapa final'!$Q$55),"")</f>
        <v/>
      </c>
      <c r="Z33" s="68" t="str">
        <f>IF(AND('Mapa final'!$AA$56="Media",'Mapa final'!$AC$56="Moderado"),CONCATENATE("R8C",'Mapa final'!$Q$56),"")</f>
        <v/>
      </c>
      <c r="AA33" s="69" t="str">
        <f>IF(AND('Mapa final'!$AA$57="Media",'Mapa final'!$AC$57="Moderado"),CONCATENATE("R8C",'Mapa final'!$Q$57),"")</f>
        <v/>
      </c>
      <c r="AB33" s="52" t="str">
        <f>IF(AND('Mapa final'!$AA$52="Media",'Mapa final'!$AC$52="Mayor"),CONCATENATE("R8C",'Mapa final'!$Q$52),"")</f>
        <v/>
      </c>
      <c r="AC33" s="53" t="str">
        <f>IF(AND('Mapa final'!$AA$53="Media",'Mapa final'!$AC$53="Mayor"),CONCATENATE("R8C",'Mapa final'!$Q$53),"")</f>
        <v/>
      </c>
      <c r="AD33" s="53" t="str">
        <f>IF(AND('Mapa final'!$AA$54="Media",'Mapa final'!$AC$54="Mayor"),CONCATENATE("R8C",'Mapa final'!$Q$54),"")</f>
        <v/>
      </c>
      <c r="AE33" s="53" t="str">
        <f>IF(AND('Mapa final'!$AA$55="Media",'Mapa final'!$AC$55="Mayor"),CONCATENATE("R8C",'Mapa final'!$Q$55),"")</f>
        <v/>
      </c>
      <c r="AF33" s="53" t="str">
        <f>IF(AND('Mapa final'!$AA$56="Media",'Mapa final'!$AC$56="Mayor"),CONCATENATE("R8C",'Mapa final'!$Q$56),"")</f>
        <v/>
      </c>
      <c r="AG33" s="54" t="str">
        <f>IF(AND('Mapa final'!$AA$57="Media",'Mapa final'!$AC$57="Mayor"),CONCATENATE("R8C",'Mapa final'!$Q$57),"")</f>
        <v/>
      </c>
      <c r="AH33" s="55" t="str">
        <f>IF(AND('Mapa final'!$AA$52="Media",'Mapa final'!$AC$52="Catastrófico"),CONCATENATE("R8C",'Mapa final'!$Q$52),"")</f>
        <v/>
      </c>
      <c r="AI33" s="56" t="str">
        <f>IF(AND('Mapa final'!$AA$53="Media",'Mapa final'!$AC$53="Catastrófico"),CONCATENATE("R8C",'Mapa final'!$Q$53),"")</f>
        <v/>
      </c>
      <c r="AJ33" s="56" t="str">
        <f>IF(AND('Mapa final'!$AA$54="Media",'Mapa final'!$AC$54="Catastrófico"),CONCATENATE("R8C",'Mapa final'!$Q$54),"")</f>
        <v/>
      </c>
      <c r="AK33" s="56" t="str">
        <f>IF(AND('Mapa final'!$AA$55="Media",'Mapa final'!$AC$55="Catastrófico"),CONCATENATE("R8C",'Mapa final'!$Q$55),"")</f>
        <v/>
      </c>
      <c r="AL33" s="56" t="str">
        <f>IF(AND('Mapa final'!$AA$56="Media",'Mapa final'!$AC$56="Catastrófico"),CONCATENATE("R8C",'Mapa final'!$Q$56),"")</f>
        <v/>
      </c>
      <c r="AM33" s="57" t="str">
        <f>IF(AND('Mapa final'!$AA$57="Media",'Mapa final'!$AC$57="Catastrófico"),CONCATENATE("R8C",'Mapa final'!$Q$57),"")</f>
        <v/>
      </c>
      <c r="AN33" s="83"/>
      <c r="AO33" s="371"/>
      <c r="AP33" s="372"/>
      <c r="AQ33" s="372"/>
      <c r="AR33" s="372"/>
      <c r="AS33" s="372"/>
      <c r="AT33" s="37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43"/>
      <c r="C34" s="243"/>
      <c r="D34" s="244"/>
      <c r="E34" s="342"/>
      <c r="F34" s="341"/>
      <c r="G34" s="341"/>
      <c r="H34" s="341"/>
      <c r="I34" s="357"/>
      <c r="J34" s="67" t="str">
        <f>IF(AND('Mapa final'!$AA$58="Media",'Mapa final'!$AC$58="Leve"),CONCATENATE("R9C",'Mapa final'!$Q$58),"")</f>
        <v/>
      </c>
      <c r="K34" s="68" t="str">
        <f>IF(AND('Mapa final'!$AA$59="Media",'Mapa final'!$AC$59="Leve"),CONCATENATE("R9C",'Mapa final'!$Q$59),"")</f>
        <v/>
      </c>
      <c r="L34" s="68" t="str">
        <f>IF(AND('Mapa final'!$AA$60="Media",'Mapa final'!$AC$60="Leve"),CONCATENATE("R9C",'Mapa final'!$Q$60),"")</f>
        <v/>
      </c>
      <c r="M34" s="68" t="str">
        <f>IF(AND('Mapa final'!$AA$61="Media",'Mapa final'!$AC$61="Leve"),CONCATENATE("R9C",'Mapa final'!$Q$61),"")</f>
        <v/>
      </c>
      <c r="N34" s="68" t="str">
        <f>IF(AND('Mapa final'!$AA$62="Media",'Mapa final'!$AC$62="Leve"),CONCATENATE("R9C",'Mapa final'!$Q$62),"")</f>
        <v/>
      </c>
      <c r="O34" s="69" t="str">
        <f>IF(AND('Mapa final'!$AA$63="Media",'Mapa final'!$AC$63="Leve"),CONCATENATE("R9C",'Mapa final'!$Q$63),"")</f>
        <v/>
      </c>
      <c r="P34" s="67" t="str">
        <f>IF(AND('Mapa final'!$AA$58="Media",'Mapa final'!$AC$58="Menor"),CONCATENATE("R9C",'Mapa final'!$Q$58),"")</f>
        <v/>
      </c>
      <c r="Q34" s="68" t="str">
        <f>IF(AND('Mapa final'!$AA$59="Media",'Mapa final'!$AC$59="Menor"),CONCATENATE("R9C",'Mapa final'!$Q$59),"")</f>
        <v/>
      </c>
      <c r="R34" s="68" t="str">
        <f>IF(AND('Mapa final'!$AA$60="Media",'Mapa final'!$AC$60="Menor"),CONCATENATE("R9C",'Mapa final'!$Q$60),"")</f>
        <v/>
      </c>
      <c r="S34" s="68" t="str">
        <f>IF(AND('Mapa final'!$AA$61="Media",'Mapa final'!$AC$61="Menor"),CONCATENATE("R9C",'Mapa final'!$Q$61),"")</f>
        <v/>
      </c>
      <c r="T34" s="68" t="str">
        <f>IF(AND('Mapa final'!$AA$62="Media",'Mapa final'!$AC$62="Menor"),CONCATENATE("R9C",'Mapa final'!$Q$62),"")</f>
        <v/>
      </c>
      <c r="U34" s="69" t="str">
        <f>IF(AND('Mapa final'!$AA$63="Media",'Mapa final'!$AC$63="Menor"),CONCATENATE("R9C",'Mapa final'!$Q$63),"")</f>
        <v/>
      </c>
      <c r="V34" s="67" t="str">
        <f>IF(AND('Mapa final'!$AA$58="Media",'Mapa final'!$AC$58="Moderado"),CONCATENATE("R9C",'Mapa final'!$Q$58),"")</f>
        <v/>
      </c>
      <c r="W34" s="68" t="str">
        <f>IF(AND('Mapa final'!$AA$59="Media",'Mapa final'!$AC$59="Moderado"),CONCATENATE("R9C",'Mapa final'!$Q$59),"")</f>
        <v/>
      </c>
      <c r="X34" s="68" t="str">
        <f>IF(AND('Mapa final'!$AA$60="Media",'Mapa final'!$AC$60="Moderado"),CONCATENATE("R9C",'Mapa final'!$Q$60),"")</f>
        <v/>
      </c>
      <c r="Y34" s="68" t="str">
        <f>IF(AND('Mapa final'!$AA$61="Media",'Mapa final'!$AC$61="Moderado"),CONCATENATE("R9C",'Mapa final'!$Q$61),"")</f>
        <v/>
      </c>
      <c r="Z34" s="68" t="str">
        <f>IF(AND('Mapa final'!$AA$62="Media",'Mapa final'!$AC$62="Moderado"),CONCATENATE("R9C",'Mapa final'!$Q$62),"")</f>
        <v/>
      </c>
      <c r="AA34" s="69" t="str">
        <f>IF(AND('Mapa final'!$AA$63="Media",'Mapa final'!$AC$63="Moderado"),CONCATENATE("R9C",'Mapa final'!$Q$63),"")</f>
        <v/>
      </c>
      <c r="AB34" s="52" t="str">
        <f>IF(AND('Mapa final'!$AA$58="Media",'Mapa final'!$AC$58="Mayor"),CONCATENATE("R9C",'Mapa final'!$Q$58),"")</f>
        <v/>
      </c>
      <c r="AC34" s="53" t="str">
        <f>IF(AND('Mapa final'!$AA$59="Media",'Mapa final'!$AC$59="Mayor"),CONCATENATE("R9C",'Mapa final'!$Q$59),"")</f>
        <v/>
      </c>
      <c r="AD34" s="53" t="str">
        <f>IF(AND('Mapa final'!$AA$60="Media",'Mapa final'!$AC$60="Mayor"),CONCATENATE("R9C",'Mapa final'!$Q$60),"")</f>
        <v/>
      </c>
      <c r="AE34" s="53" t="str">
        <f>IF(AND('Mapa final'!$AA$61="Media",'Mapa final'!$AC$61="Mayor"),CONCATENATE("R9C",'Mapa final'!$Q$61),"")</f>
        <v/>
      </c>
      <c r="AF34" s="53" t="str">
        <f>IF(AND('Mapa final'!$AA$62="Media",'Mapa final'!$AC$62="Mayor"),CONCATENATE("R9C",'Mapa final'!$Q$62),"")</f>
        <v/>
      </c>
      <c r="AG34" s="54" t="str">
        <f>IF(AND('Mapa final'!$AA$63="Media",'Mapa final'!$AC$63="Mayor"),CONCATENATE("R9C",'Mapa final'!$Q$63),"")</f>
        <v/>
      </c>
      <c r="AH34" s="55" t="str">
        <f>IF(AND('Mapa final'!$AA$58="Media",'Mapa final'!$AC$58="Catastrófico"),CONCATENATE("R9C",'Mapa final'!$Q$58),"")</f>
        <v/>
      </c>
      <c r="AI34" s="56" t="str">
        <f>IF(AND('Mapa final'!$AA$59="Media",'Mapa final'!$AC$59="Catastrófico"),CONCATENATE("R9C",'Mapa final'!$Q$59),"")</f>
        <v/>
      </c>
      <c r="AJ34" s="56" t="str">
        <f>IF(AND('Mapa final'!$AA$60="Media",'Mapa final'!$AC$60="Catastrófico"),CONCATENATE("R9C",'Mapa final'!$Q$60),"")</f>
        <v/>
      </c>
      <c r="AK34" s="56" t="str">
        <f>IF(AND('Mapa final'!$AA$61="Media",'Mapa final'!$AC$61="Catastrófico"),CONCATENATE("R9C",'Mapa final'!$Q$61),"")</f>
        <v/>
      </c>
      <c r="AL34" s="56" t="str">
        <f>IF(AND('Mapa final'!$AA$62="Media",'Mapa final'!$AC$62="Catastrófico"),CONCATENATE("R9C",'Mapa final'!$Q$62),"")</f>
        <v/>
      </c>
      <c r="AM34" s="57" t="str">
        <f>IF(AND('Mapa final'!$AA$63="Media",'Mapa final'!$AC$63="Catastrófico"),CONCATENATE("R9C",'Mapa final'!$Q$63),"")</f>
        <v/>
      </c>
      <c r="AN34" s="83"/>
      <c r="AO34" s="371"/>
      <c r="AP34" s="372"/>
      <c r="AQ34" s="372"/>
      <c r="AR34" s="372"/>
      <c r="AS34" s="372"/>
      <c r="AT34" s="37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43"/>
      <c r="C35" s="243"/>
      <c r="D35" s="244"/>
      <c r="E35" s="343"/>
      <c r="F35" s="344"/>
      <c r="G35" s="344"/>
      <c r="H35" s="344"/>
      <c r="I35" s="358"/>
      <c r="J35" s="67" t="str">
        <f>IF(AND('Mapa final'!$AA$64="Media",'Mapa final'!$AC$64="Leve"),CONCATENATE("R10C",'Mapa final'!$Q$64),"")</f>
        <v/>
      </c>
      <c r="K35" s="68" t="str">
        <f>IF(AND('Mapa final'!$AA$65="Media",'Mapa final'!$AC$65="Leve"),CONCATENATE("R10C",'Mapa final'!$Q$65),"")</f>
        <v/>
      </c>
      <c r="L35" s="68" t="str">
        <f>IF(AND('Mapa final'!$AA$66="Media",'Mapa final'!$AC$66="Leve"),CONCATENATE("R10C",'Mapa final'!$Q$66),"")</f>
        <v/>
      </c>
      <c r="M35" s="68" t="str">
        <f>IF(AND('Mapa final'!$AA$67="Media",'Mapa final'!$AC$67="Leve"),CONCATENATE("R10C",'Mapa final'!$Q$67),"")</f>
        <v/>
      </c>
      <c r="N35" s="68" t="str">
        <f>IF(AND('Mapa final'!$AA$68="Media",'Mapa final'!$AC$68="Leve"),CONCATENATE("R10C",'Mapa final'!$Q$68),"")</f>
        <v/>
      </c>
      <c r="O35" s="69" t="str">
        <f>IF(AND('Mapa final'!$AA$69="Media",'Mapa final'!$AC$69="Leve"),CONCATENATE("R10C",'Mapa final'!$Q$69),"")</f>
        <v/>
      </c>
      <c r="P35" s="67" t="str">
        <f>IF(AND('Mapa final'!$AA$64="Media",'Mapa final'!$AC$64="Menor"),CONCATENATE("R10C",'Mapa final'!$Q$64),"")</f>
        <v/>
      </c>
      <c r="Q35" s="68" t="str">
        <f>IF(AND('Mapa final'!$AA$65="Media",'Mapa final'!$AC$65="Menor"),CONCATENATE("R10C",'Mapa final'!$Q$65),"")</f>
        <v/>
      </c>
      <c r="R35" s="68" t="str">
        <f>IF(AND('Mapa final'!$AA$66="Media",'Mapa final'!$AC$66="Menor"),CONCATENATE("R10C",'Mapa final'!$Q$66),"")</f>
        <v/>
      </c>
      <c r="S35" s="68" t="str">
        <f>IF(AND('Mapa final'!$AA$67="Media",'Mapa final'!$AC$67="Menor"),CONCATENATE("R10C",'Mapa final'!$Q$67),"")</f>
        <v/>
      </c>
      <c r="T35" s="68" t="str">
        <f>IF(AND('Mapa final'!$AA$68="Media",'Mapa final'!$AC$68="Menor"),CONCATENATE("R10C",'Mapa final'!$Q$68),"")</f>
        <v/>
      </c>
      <c r="U35" s="69" t="str">
        <f>IF(AND('Mapa final'!$AA$69="Media",'Mapa final'!$AC$69="Menor"),CONCATENATE("R10C",'Mapa final'!$Q$69),"")</f>
        <v/>
      </c>
      <c r="V35" s="67" t="str">
        <f>IF(AND('Mapa final'!$AA$64="Media",'Mapa final'!$AC$64="Moderado"),CONCATENATE("R10C",'Mapa final'!$Q$64),"")</f>
        <v/>
      </c>
      <c r="W35" s="68" t="str">
        <f>IF(AND('Mapa final'!$AA$65="Media",'Mapa final'!$AC$65="Moderado"),CONCATENATE("R10C",'Mapa final'!$Q$65),"")</f>
        <v/>
      </c>
      <c r="X35" s="68" t="str">
        <f>IF(AND('Mapa final'!$AA$66="Media",'Mapa final'!$AC$66="Moderado"),CONCATENATE("R10C",'Mapa final'!$Q$66),"")</f>
        <v/>
      </c>
      <c r="Y35" s="68" t="str">
        <f>IF(AND('Mapa final'!$AA$67="Media",'Mapa final'!$AC$67="Moderado"),CONCATENATE("R10C",'Mapa final'!$Q$67),"")</f>
        <v/>
      </c>
      <c r="Z35" s="68" t="str">
        <f>IF(AND('Mapa final'!$AA$68="Media",'Mapa final'!$AC$68="Moderado"),CONCATENATE("R10C",'Mapa final'!$Q$68),"")</f>
        <v/>
      </c>
      <c r="AA35" s="69" t="str">
        <f>IF(AND('Mapa final'!$AA$69="Media",'Mapa final'!$AC$69="Moderado"),CONCATENATE("R10C",'Mapa final'!$Q$69),"")</f>
        <v/>
      </c>
      <c r="AB35" s="58" t="str">
        <f>IF(AND('Mapa final'!$AA$64="Media",'Mapa final'!$AC$64="Mayor"),CONCATENATE("R10C",'Mapa final'!$Q$64),"")</f>
        <v/>
      </c>
      <c r="AC35" s="59" t="str">
        <f>IF(AND('Mapa final'!$AA$65="Media",'Mapa final'!$AC$65="Mayor"),CONCATENATE("R10C",'Mapa final'!$Q$65),"")</f>
        <v/>
      </c>
      <c r="AD35" s="59" t="str">
        <f>IF(AND('Mapa final'!$AA$66="Media",'Mapa final'!$AC$66="Mayor"),CONCATENATE("R10C",'Mapa final'!$Q$66),"")</f>
        <v/>
      </c>
      <c r="AE35" s="59" t="str">
        <f>IF(AND('Mapa final'!$AA$67="Media",'Mapa final'!$AC$67="Mayor"),CONCATENATE("R10C",'Mapa final'!$Q$67),"")</f>
        <v/>
      </c>
      <c r="AF35" s="59" t="str">
        <f>IF(AND('Mapa final'!$AA$68="Media",'Mapa final'!$AC$68="Mayor"),CONCATENATE("R10C",'Mapa final'!$Q$68),"")</f>
        <v/>
      </c>
      <c r="AG35" s="60" t="str">
        <f>IF(AND('Mapa final'!$AA$69="Media",'Mapa final'!$AC$69="Mayor"),CONCATENATE("R10C",'Mapa final'!$Q$69),"")</f>
        <v/>
      </c>
      <c r="AH35" s="61" t="str">
        <f>IF(AND('Mapa final'!$AA$64="Media",'Mapa final'!$AC$64="Catastrófico"),CONCATENATE("R10C",'Mapa final'!$Q$64),"")</f>
        <v/>
      </c>
      <c r="AI35" s="62" t="str">
        <f>IF(AND('Mapa final'!$AA$65="Media",'Mapa final'!$AC$65="Catastrófico"),CONCATENATE("R10C",'Mapa final'!$Q$65),"")</f>
        <v/>
      </c>
      <c r="AJ35" s="62" t="str">
        <f>IF(AND('Mapa final'!$AA$66="Media",'Mapa final'!$AC$66="Catastrófico"),CONCATENATE("R10C",'Mapa final'!$Q$66),"")</f>
        <v/>
      </c>
      <c r="AK35" s="62" t="str">
        <f>IF(AND('Mapa final'!$AA$67="Media",'Mapa final'!$AC$67="Catastrófico"),CONCATENATE("R10C",'Mapa final'!$Q$67),"")</f>
        <v/>
      </c>
      <c r="AL35" s="62" t="str">
        <f>IF(AND('Mapa final'!$AA$68="Media",'Mapa final'!$AC$68="Catastrófico"),CONCATENATE("R10C",'Mapa final'!$Q$68),"")</f>
        <v/>
      </c>
      <c r="AM35" s="63" t="str">
        <f>IF(AND('Mapa final'!$AA$69="Media",'Mapa final'!$AC$69="Catastrófico"),CONCATENATE("R10C",'Mapa final'!$Q$69),"")</f>
        <v/>
      </c>
      <c r="AN35" s="83"/>
      <c r="AO35" s="374"/>
      <c r="AP35" s="375"/>
      <c r="AQ35" s="375"/>
      <c r="AR35" s="375"/>
      <c r="AS35" s="375"/>
      <c r="AT35" s="37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43"/>
      <c r="C36" s="243"/>
      <c r="D36" s="244"/>
      <c r="E36" s="338" t="s">
        <v>114</v>
      </c>
      <c r="F36" s="339"/>
      <c r="G36" s="339"/>
      <c r="H36" s="339"/>
      <c r="I36" s="339"/>
      <c r="J36" s="73" t="str">
        <f>IF(AND('Mapa final'!$AA$10="Baja",'Mapa final'!$AC$10="Leve"),CONCATENATE("R1C",'Mapa final'!$Q$10),"")</f>
        <v/>
      </c>
      <c r="K36" s="74" t="str">
        <f>IF(AND('Mapa final'!$AA$11="Baja",'Mapa final'!$AC$11="Leve"),CONCATENATE("R1C",'Mapa final'!$Q$11),"")</f>
        <v/>
      </c>
      <c r="L36" s="74" t="str">
        <f>IF(AND('Mapa final'!$AA$12="Baja",'Mapa final'!$AC$12="Leve"),CONCATENATE("R1C",'Mapa final'!$Q$12),"")</f>
        <v/>
      </c>
      <c r="M36" s="74" t="str">
        <f>IF(AND('Mapa final'!$AA$13="Baja",'Mapa final'!$AC$13="Leve"),CONCATENATE("R1C",'Mapa final'!$Q$13),"")</f>
        <v/>
      </c>
      <c r="N36" s="74" t="str">
        <f>IF(AND('Mapa final'!$AA$14="Baja",'Mapa final'!$AC$14="Leve"),CONCATENATE("R1C",'Mapa final'!$Q$14),"")</f>
        <v/>
      </c>
      <c r="O36" s="75" t="str">
        <f>IF(AND('Mapa final'!$AA$15="Baja",'Mapa final'!$AC$15="Leve"),CONCATENATE("R1C",'Mapa final'!$Q$15),"")</f>
        <v/>
      </c>
      <c r="P36" s="64" t="str">
        <f>IF(AND('Mapa final'!$AA$10="Baja",'Mapa final'!$AC$10="Menor"),CONCATENATE("R1C",'Mapa final'!$Q$10),"")</f>
        <v>R1C1</v>
      </c>
      <c r="Q36" s="65" t="str">
        <f>IF(AND('Mapa final'!$AA$11="Baja",'Mapa final'!$AC$11="Menor"),CONCATENATE("R1C",'Mapa final'!$Q$11),"")</f>
        <v/>
      </c>
      <c r="R36" s="65" t="str">
        <f>IF(AND('Mapa final'!$AA$12="Baja",'Mapa final'!$AC$12="Menor"),CONCATENATE("R1C",'Mapa final'!$Q$12),"")</f>
        <v/>
      </c>
      <c r="S36" s="65" t="str">
        <f>IF(AND('Mapa final'!$AA$13="Baja",'Mapa final'!$AC$13="Menor"),CONCATENATE("R1C",'Mapa final'!$Q$13),"")</f>
        <v/>
      </c>
      <c r="T36" s="65" t="str">
        <f>IF(AND('Mapa final'!$AA$14="Baja",'Mapa final'!$AC$14="Menor"),CONCATENATE("R1C",'Mapa final'!$Q$14),"")</f>
        <v/>
      </c>
      <c r="U36" s="66" t="str">
        <f>IF(AND('Mapa final'!$AA$15="Baja",'Mapa final'!$AC$15="Menor"),CONCATENATE("R1C",'Mapa final'!$Q$15),"")</f>
        <v/>
      </c>
      <c r="V36" s="64" t="str">
        <f>IF(AND('Mapa final'!$AA$10="Baja",'Mapa final'!$AC$10="Moderado"),CONCATENATE("R1C",'Mapa final'!$Q$10),"")</f>
        <v/>
      </c>
      <c r="W36" s="65" t="str">
        <f>IF(AND('Mapa final'!$AA$11="Baja",'Mapa final'!$AC$11="Moderado"),CONCATENATE("R1C",'Mapa final'!$Q$11),"")</f>
        <v/>
      </c>
      <c r="X36" s="65" t="str">
        <f>IF(AND('Mapa final'!$AA$12="Baja",'Mapa final'!$AC$12="Moderado"),CONCATENATE("R1C",'Mapa final'!$Q$12),"")</f>
        <v/>
      </c>
      <c r="Y36" s="65" t="str">
        <f>IF(AND('Mapa final'!$AA$13="Baja",'Mapa final'!$AC$13="Moderado"),CONCATENATE("R1C",'Mapa final'!$Q$13),"")</f>
        <v/>
      </c>
      <c r="Z36" s="65" t="str">
        <f>IF(AND('Mapa final'!$AA$14="Baja",'Mapa final'!$AC$14="Moderado"),CONCATENATE("R1C",'Mapa final'!$Q$14),"")</f>
        <v/>
      </c>
      <c r="AA36" s="66" t="str">
        <f>IF(AND('Mapa final'!$AA$15="Baja",'Mapa final'!$AC$15="Moderado"),CONCATENATE("R1C",'Mapa final'!$Q$15),"")</f>
        <v/>
      </c>
      <c r="AB36" s="46" t="str">
        <f>IF(AND('Mapa final'!$AA$10="Baja",'Mapa final'!$AC$10="Mayor"),CONCATENATE("R1C",'Mapa final'!$Q$10),"")</f>
        <v/>
      </c>
      <c r="AC36" s="47" t="str">
        <f>IF(AND('Mapa final'!$AA$11="Baja",'Mapa final'!$AC$11="Mayor"),CONCATENATE("R1C",'Mapa final'!$Q$11),"")</f>
        <v/>
      </c>
      <c r="AD36" s="47" t="str">
        <f>IF(AND('Mapa final'!$AA$12="Baja",'Mapa final'!$AC$12="Mayor"),CONCATENATE("R1C",'Mapa final'!$Q$12),"")</f>
        <v/>
      </c>
      <c r="AE36" s="47" t="str">
        <f>IF(AND('Mapa final'!$AA$13="Baja",'Mapa final'!$AC$13="Mayor"),CONCATENATE("R1C",'Mapa final'!$Q$13),"")</f>
        <v/>
      </c>
      <c r="AF36" s="47" t="str">
        <f>IF(AND('Mapa final'!$AA$14="Baja",'Mapa final'!$AC$14="Mayor"),CONCATENATE("R1C",'Mapa final'!$Q$14),"")</f>
        <v/>
      </c>
      <c r="AG36" s="48" t="str">
        <f>IF(AND('Mapa final'!$AA$15="Baja",'Mapa final'!$AC$15="Mayor"),CONCATENATE("R1C",'Mapa final'!$Q$15),"")</f>
        <v/>
      </c>
      <c r="AH36" s="49" t="str">
        <f>IF(AND('Mapa final'!$AA$10="Baja",'Mapa final'!$AC$10="Catastrófico"),CONCATENATE("R1C",'Mapa final'!$Q$10),"")</f>
        <v/>
      </c>
      <c r="AI36" s="50" t="str">
        <f>IF(AND('Mapa final'!$AA$11="Baja",'Mapa final'!$AC$11="Catastrófico"),CONCATENATE("R1C",'Mapa final'!$Q$11),"")</f>
        <v/>
      </c>
      <c r="AJ36" s="50" t="str">
        <f>IF(AND('Mapa final'!$AA$12="Baja",'Mapa final'!$AC$12="Catastrófico"),CONCATENATE("R1C",'Mapa final'!$Q$12),"")</f>
        <v/>
      </c>
      <c r="AK36" s="50" t="str">
        <f>IF(AND('Mapa final'!$AA$13="Baja",'Mapa final'!$AC$13="Catastrófico"),CONCATENATE("R1C",'Mapa final'!$Q$13),"")</f>
        <v/>
      </c>
      <c r="AL36" s="50" t="str">
        <f>IF(AND('Mapa final'!$AA$14="Baja",'Mapa final'!$AC$14="Catastrófico"),CONCATENATE("R1C",'Mapa final'!$Q$14),"")</f>
        <v/>
      </c>
      <c r="AM36" s="51" t="str">
        <f>IF(AND('Mapa final'!$AA$15="Baja",'Mapa final'!$AC$15="Catastrófico"),CONCATENATE("R1C",'Mapa final'!$Q$15),"")</f>
        <v/>
      </c>
      <c r="AN36" s="83"/>
      <c r="AO36" s="359" t="s">
        <v>82</v>
      </c>
      <c r="AP36" s="360"/>
      <c r="AQ36" s="360"/>
      <c r="AR36" s="360"/>
      <c r="AS36" s="360"/>
      <c r="AT36" s="36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43"/>
      <c r="C37" s="243"/>
      <c r="D37" s="244"/>
      <c r="E37" s="340"/>
      <c r="F37" s="341"/>
      <c r="G37" s="341"/>
      <c r="H37" s="341"/>
      <c r="I37" s="341"/>
      <c r="J37" s="76" t="str">
        <f>IF(AND('Mapa final'!$AA$16="Baja",'Mapa final'!$AC$16="Leve"),CONCATENATE("R2C",'Mapa final'!$Q$16),"")</f>
        <v/>
      </c>
      <c r="K37" s="77" t="str">
        <f>IF(AND('Mapa final'!$AA$17="Baja",'Mapa final'!$AC$17="Leve"),CONCATENATE("R2C",'Mapa final'!$Q$17),"")</f>
        <v/>
      </c>
      <c r="L37" s="77" t="str">
        <f>IF(AND('Mapa final'!$AA$18="Baja",'Mapa final'!$AC$18="Leve"),CONCATENATE("R2C",'Mapa final'!$Q$18),"")</f>
        <v/>
      </c>
      <c r="M37" s="77" t="str">
        <f>IF(AND('Mapa final'!$AA$19="Baja",'Mapa final'!$AC$19="Leve"),CONCATENATE("R2C",'Mapa final'!$Q$19),"")</f>
        <v/>
      </c>
      <c r="N37" s="77" t="str">
        <f>IF(AND('Mapa final'!$AA$20="Baja",'Mapa final'!$AC$20="Leve"),CONCATENATE("R2C",'Mapa final'!$Q$20),"")</f>
        <v/>
      </c>
      <c r="O37" s="78" t="str">
        <f>IF(AND('Mapa final'!$AA$21="Baja",'Mapa final'!$AC$21="Leve"),CONCATENATE("R2C",'Mapa final'!$Q$21),"")</f>
        <v/>
      </c>
      <c r="P37" s="67" t="str">
        <f>IF(AND('Mapa final'!$AA$16="Baja",'Mapa final'!$AC$16="Menor"),CONCATENATE("R2C",'Mapa final'!$Q$16),"")</f>
        <v/>
      </c>
      <c r="Q37" s="68" t="str">
        <f>IF(AND('Mapa final'!$AA$17="Baja",'Mapa final'!$AC$17="Menor"),CONCATENATE("R2C",'Mapa final'!$Q$17),"")</f>
        <v/>
      </c>
      <c r="R37" s="68" t="str">
        <f>IF(AND('Mapa final'!$AA$18="Baja",'Mapa final'!$AC$18="Menor"),CONCATENATE("R2C",'Mapa final'!$Q$18),"")</f>
        <v/>
      </c>
      <c r="S37" s="68" t="str">
        <f>IF(AND('Mapa final'!$AA$19="Baja",'Mapa final'!$AC$19="Menor"),CONCATENATE("R2C",'Mapa final'!$Q$19),"")</f>
        <v/>
      </c>
      <c r="T37" s="68" t="str">
        <f>IF(AND('Mapa final'!$AA$20="Baja",'Mapa final'!$AC$20="Menor"),CONCATENATE("R2C",'Mapa final'!$Q$20),"")</f>
        <v/>
      </c>
      <c r="U37" s="69" t="str">
        <f>IF(AND('Mapa final'!$AA$21="Baja",'Mapa final'!$AC$21="Menor"),CONCATENATE("R2C",'Mapa final'!$Q$21),"")</f>
        <v/>
      </c>
      <c r="V37" s="67" t="str">
        <f>IF(AND('Mapa final'!$AA$16="Baja",'Mapa final'!$AC$16="Moderado"),CONCATENATE("R2C",'Mapa final'!$Q$16),"")</f>
        <v/>
      </c>
      <c r="W37" s="68" t="str">
        <f>IF(AND('Mapa final'!$AA$17="Baja",'Mapa final'!$AC$17="Moderado"),CONCATENATE("R2C",'Mapa final'!$Q$17),"")</f>
        <v/>
      </c>
      <c r="X37" s="68" t="str">
        <f>IF(AND('Mapa final'!$AA$18="Baja",'Mapa final'!$AC$18="Moderado"),CONCATENATE("R2C",'Mapa final'!$Q$18),"")</f>
        <v/>
      </c>
      <c r="Y37" s="68" t="str">
        <f>IF(AND('Mapa final'!$AA$19="Baja",'Mapa final'!$AC$19="Moderado"),CONCATENATE("R2C",'Mapa final'!$Q$19),"")</f>
        <v/>
      </c>
      <c r="Z37" s="68" t="str">
        <f>IF(AND('Mapa final'!$AA$20="Baja",'Mapa final'!$AC$20="Moderado"),CONCATENATE("R2C",'Mapa final'!$Q$20),"")</f>
        <v/>
      </c>
      <c r="AA37" s="69" t="str">
        <f>IF(AND('Mapa final'!$AA$21="Baja",'Mapa final'!$AC$21="Moderado"),CONCATENATE("R2C",'Mapa final'!$Q$21),"")</f>
        <v/>
      </c>
      <c r="AB37" s="52" t="str">
        <f>IF(AND('Mapa final'!$AA$16="Baja",'Mapa final'!$AC$16="Mayor"),CONCATENATE("R2C",'Mapa final'!$Q$16),"")</f>
        <v>R2C1</v>
      </c>
      <c r="AC37" s="53" t="str">
        <f>IF(AND('Mapa final'!$AA$17="Baja",'Mapa final'!$AC$17="Mayor"),CONCATENATE("R2C",'Mapa final'!$Q$17),"")</f>
        <v/>
      </c>
      <c r="AD37" s="53" t="str">
        <f>IF(AND('Mapa final'!$AA$18="Baja",'Mapa final'!$AC$18="Mayor"),CONCATENATE("R2C",'Mapa final'!$Q$18),"")</f>
        <v/>
      </c>
      <c r="AE37" s="53" t="str">
        <f>IF(AND('Mapa final'!$AA$19="Baja",'Mapa final'!$AC$19="Mayor"),CONCATENATE("R2C",'Mapa final'!$Q$19),"")</f>
        <v/>
      </c>
      <c r="AF37" s="53" t="str">
        <f>IF(AND('Mapa final'!$AA$20="Baja",'Mapa final'!$AC$20="Mayor"),CONCATENATE("R2C",'Mapa final'!$Q$20),"")</f>
        <v/>
      </c>
      <c r="AG37" s="54" t="str">
        <f>IF(AND('Mapa final'!$AA$21="Baja",'Mapa final'!$AC$21="Mayor"),CONCATENATE("R2C",'Mapa final'!$Q$21),"")</f>
        <v/>
      </c>
      <c r="AH37" s="55" t="str">
        <f>IF(AND('Mapa final'!$AA$16="Baja",'Mapa final'!$AC$16="Catastrófico"),CONCATENATE("R2C",'Mapa final'!$Q$16),"")</f>
        <v/>
      </c>
      <c r="AI37" s="56" t="str">
        <f>IF(AND('Mapa final'!$AA$17="Baja",'Mapa final'!$AC$17="Catastrófico"),CONCATENATE("R2C",'Mapa final'!$Q$17),"")</f>
        <v/>
      </c>
      <c r="AJ37" s="56" t="str">
        <f>IF(AND('Mapa final'!$AA$18="Baja",'Mapa final'!$AC$18="Catastrófico"),CONCATENATE("R2C",'Mapa final'!$Q$18),"")</f>
        <v/>
      </c>
      <c r="AK37" s="56" t="str">
        <f>IF(AND('Mapa final'!$AA$19="Baja",'Mapa final'!$AC$19="Catastrófico"),CONCATENATE("R2C",'Mapa final'!$Q$19),"")</f>
        <v/>
      </c>
      <c r="AL37" s="56" t="str">
        <f>IF(AND('Mapa final'!$AA$20="Baja",'Mapa final'!$AC$20="Catastrófico"),CONCATENATE("R2C",'Mapa final'!$Q$20),"")</f>
        <v/>
      </c>
      <c r="AM37" s="57" t="str">
        <f>IF(AND('Mapa final'!$AA$21="Baja",'Mapa final'!$AC$21="Catastrófico"),CONCATENATE("R2C",'Mapa final'!$Q$21),"")</f>
        <v/>
      </c>
      <c r="AN37" s="83"/>
      <c r="AO37" s="362"/>
      <c r="AP37" s="363"/>
      <c r="AQ37" s="363"/>
      <c r="AR37" s="363"/>
      <c r="AS37" s="363"/>
      <c r="AT37" s="36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43"/>
      <c r="C38" s="243"/>
      <c r="D38" s="244"/>
      <c r="E38" s="342"/>
      <c r="F38" s="341"/>
      <c r="G38" s="341"/>
      <c r="H38" s="341"/>
      <c r="I38" s="341"/>
      <c r="J38" s="76" t="str">
        <f>IF(AND('Mapa final'!$AA$22="Baja",'Mapa final'!$AC$22="Leve"),CONCATENATE("R3C",'Mapa final'!$Q$22),"")</f>
        <v/>
      </c>
      <c r="K38" s="77" t="str">
        <f>IF(AND('Mapa final'!$AA$23="Baja",'Mapa final'!$AC$23="Leve"),CONCATENATE("R3C",'Mapa final'!$Q$23),"")</f>
        <v/>
      </c>
      <c r="L38" s="77" t="str">
        <f>IF(AND('Mapa final'!$AA$24="Baja",'Mapa final'!$AC$24="Leve"),CONCATENATE("R3C",'Mapa final'!$Q$24),"")</f>
        <v/>
      </c>
      <c r="M38" s="77" t="str">
        <f>IF(AND('Mapa final'!$AA$25="Baja",'Mapa final'!$AC$25="Leve"),CONCATENATE("R3C",'Mapa final'!$Q$25),"")</f>
        <v/>
      </c>
      <c r="N38" s="77" t="str">
        <f>IF(AND('Mapa final'!$AA$26="Baja",'Mapa final'!$AC$26="Leve"),CONCATENATE("R3C",'Mapa final'!$Q$26),"")</f>
        <v/>
      </c>
      <c r="O38" s="78" t="str">
        <f>IF(AND('Mapa final'!$AA$27="Baja",'Mapa final'!$AC$27="Leve"),CONCATENATE("R3C",'Mapa final'!$Q$27),"")</f>
        <v/>
      </c>
      <c r="P38" s="67" t="str">
        <f>IF(AND('Mapa final'!$AA$22="Baja",'Mapa final'!$AC$22="Menor"),CONCATENATE("R3C",'Mapa final'!$Q$22),"")</f>
        <v/>
      </c>
      <c r="Q38" s="68" t="str">
        <f>IF(AND('Mapa final'!$AA$23="Baja",'Mapa final'!$AC$23="Menor"),CONCATENATE("R3C",'Mapa final'!$Q$23),"")</f>
        <v/>
      </c>
      <c r="R38" s="68" t="str">
        <f>IF(AND('Mapa final'!$AA$24="Baja",'Mapa final'!$AC$24="Menor"),CONCATENATE("R3C",'Mapa final'!$Q$24),"")</f>
        <v/>
      </c>
      <c r="S38" s="68" t="str">
        <f>IF(AND('Mapa final'!$AA$25="Baja",'Mapa final'!$AC$25="Menor"),CONCATENATE("R3C",'Mapa final'!$Q$25),"")</f>
        <v/>
      </c>
      <c r="T38" s="68" t="str">
        <f>IF(AND('Mapa final'!$AA$26="Baja",'Mapa final'!$AC$26="Menor"),CONCATENATE("R3C",'Mapa final'!$Q$26),"")</f>
        <v/>
      </c>
      <c r="U38" s="69" t="str">
        <f>IF(AND('Mapa final'!$AA$27="Baja",'Mapa final'!$AC$27="Menor"),CONCATENATE("R3C",'Mapa final'!$Q$27),"")</f>
        <v/>
      </c>
      <c r="V38" s="67" t="str">
        <f>IF(AND('Mapa final'!$AA$22="Baja",'Mapa final'!$AC$22="Moderado"),CONCATENATE("R3C",'Mapa final'!$Q$22),"")</f>
        <v/>
      </c>
      <c r="W38" s="68" t="str">
        <f>IF(AND('Mapa final'!$AA$23="Baja",'Mapa final'!$AC$23="Moderado"),CONCATENATE("R3C",'Mapa final'!$Q$23),"")</f>
        <v/>
      </c>
      <c r="X38" s="68" t="str">
        <f>IF(AND('Mapa final'!$AA$24="Baja",'Mapa final'!$AC$24="Moderado"),CONCATENATE("R3C",'Mapa final'!$Q$24),"")</f>
        <v/>
      </c>
      <c r="Y38" s="68" t="str">
        <f>IF(AND('Mapa final'!$AA$25="Baja",'Mapa final'!$AC$25="Moderado"),CONCATENATE("R3C",'Mapa final'!$Q$25),"")</f>
        <v/>
      </c>
      <c r="Z38" s="68" t="str">
        <f>IF(AND('Mapa final'!$AA$26="Baja",'Mapa final'!$AC$26="Moderado"),CONCATENATE("R3C",'Mapa final'!$Q$26),"")</f>
        <v/>
      </c>
      <c r="AA38" s="69" t="str">
        <f>IF(AND('Mapa final'!$AA$27="Baja",'Mapa final'!$AC$27="Moderado"),CONCATENATE("R3C",'Mapa final'!$Q$27),"")</f>
        <v/>
      </c>
      <c r="AB38" s="52" t="str">
        <f>IF(AND('Mapa final'!$AA$22="Baja",'Mapa final'!$AC$22="Mayor"),CONCATENATE("R3C",'Mapa final'!$Q$22),"")</f>
        <v>R3C1</v>
      </c>
      <c r="AC38" s="53" t="str">
        <f>IF(AND('Mapa final'!$AA$23="Baja",'Mapa final'!$AC$23="Mayor"),CONCATENATE("R3C",'Mapa final'!$Q$23),"")</f>
        <v/>
      </c>
      <c r="AD38" s="53" t="str">
        <f>IF(AND('Mapa final'!$AA$24="Baja",'Mapa final'!$AC$24="Mayor"),CONCATENATE("R3C",'Mapa final'!$Q$24),"")</f>
        <v/>
      </c>
      <c r="AE38" s="53" t="str">
        <f>IF(AND('Mapa final'!$AA$25="Baja",'Mapa final'!$AC$25="Mayor"),CONCATENATE("R3C",'Mapa final'!$Q$25),"")</f>
        <v/>
      </c>
      <c r="AF38" s="53" t="str">
        <f>IF(AND('Mapa final'!$AA$26="Baja",'Mapa final'!$AC$26="Mayor"),CONCATENATE("R3C",'Mapa final'!$Q$26),"")</f>
        <v/>
      </c>
      <c r="AG38" s="54" t="str">
        <f>IF(AND('Mapa final'!$AA$27="Baja",'Mapa final'!$AC$27="Mayor"),CONCATENATE("R3C",'Mapa final'!$Q$27),"")</f>
        <v/>
      </c>
      <c r="AH38" s="55" t="str">
        <f>IF(AND('Mapa final'!$AA$22="Baja",'Mapa final'!$AC$22="Catastrófico"),CONCATENATE("R3C",'Mapa final'!$Q$22),"")</f>
        <v/>
      </c>
      <c r="AI38" s="56" t="str">
        <f>IF(AND('Mapa final'!$AA$23="Baja",'Mapa final'!$AC$23="Catastrófico"),CONCATENATE("R3C",'Mapa final'!$Q$23),"")</f>
        <v/>
      </c>
      <c r="AJ38" s="56" t="str">
        <f>IF(AND('Mapa final'!$AA$24="Baja",'Mapa final'!$AC$24="Catastrófico"),CONCATENATE("R3C",'Mapa final'!$Q$24),"")</f>
        <v/>
      </c>
      <c r="AK38" s="56" t="str">
        <f>IF(AND('Mapa final'!$AA$25="Baja",'Mapa final'!$AC$25="Catastrófico"),CONCATENATE("R3C",'Mapa final'!$Q$25),"")</f>
        <v/>
      </c>
      <c r="AL38" s="56" t="str">
        <f>IF(AND('Mapa final'!$AA$26="Baja",'Mapa final'!$AC$26="Catastrófico"),CONCATENATE("R3C",'Mapa final'!$Q$26),"")</f>
        <v/>
      </c>
      <c r="AM38" s="57" t="str">
        <f>IF(AND('Mapa final'!$AA$27="Baja",'Mapa final'!$AC$27="Catastrófico"),CONCATENATE("R3C",'Mapa final'!$Q$27),"")</f>
        <v/>
      </c>
      <c r="AN38" s="83"/>
      <c r="AO38" s="362"/>
      <c r="AP38" s="363"/>
      <c r="AQ38" s="363"/>
      <c r="AR38" s="363"/>
      <c r="AS38" s="363"/>
      <c r="AT38" s="36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43"/>
      <c r="C39" s="243"/>
      <c r="D39" s="244"/>
      <c r="E39" s="342"/>
      <c r="F39" s="341"/>
      <c r="G39" s="341"/>
      <c r="H39" s="341"/>
      <c r="I39" s="341"/>
      <c r="J39" s="76" t="str">
        <f>IF(AND('Mapa final'!$AA$28="Baja",'Mapa final'!$AC$28="Leve"),CONCATENATE("R4C",'Mapa final'!$Q$28),"")</f>
        <v/>
      </c>
      <c r="K39" s="77" t="str">
        <f>IF(AND('Mapa final'!$AA$29="Baja",'Mapa final'!$AC$29="Leve"),CONCATENATE("R4C",'Mapa final'!$Q$29),"")</f>
        <v/>
      </c>
      <c r="L39" s="77" t="str">
        <f>IF(AND('Mapa final'!$AA$30="Baja",'Mapa final'!$AC$30="Leve"),CONCATENATE("R4C",'Mapa final'!$Q$30),"")</f>
        <v/>
      </c>
      <c r="M39" s="77" t="str">
        <f>IF(AND('Mapa final'!$AA$31="Baja",'Mapa final'!$AC$31="Leve"),CONCATENATE("R4C",'Mapa final'!$Q$31),"")</f>
        <v/>
      </c>
      <c r="N39" s="77" t="str">
        <f>IF(AND('Mapa final'!$AA$32="Baja",'Mapa final'!$AC$32="Leve"),CONCATENATE("R4C",'Mapa final'!$Q$32),"")</f>
        <v/>
      </c>
      <c r="O39" s="78" t="str">
        <f>IF(AND('Mapa final'!$AA$33="Baja",'Mapa final'!$AC$33="Leve"),CONCATENATE("R4C",'Mapa final'!$Q$33),"")</f>
        <v/>
      </c>
      <c r="P39" s="67" t="str">
        <f>IF(AND('Mapa final'!$AA$28="Baja",'Mapa final'!$AC$28="Menor"),CONCATENATE("R4C",'Mapa final'!$Q$28),"")</f>
        <v/>
      </c>
      <c r="Q39" s="68" t="str">
        <f>IF(AND('Mapa final'!$AA$29="Baja",'Mapa final'!$AC$29="Menor"),CONCATENATE("R4C",'Mapa final'!$Q$29),"")</f>
        <v/>
      </c>
      <c r="R39" s="68" t="str">
        <f>IF(AND('Mapa final'!$AA$30="Baja",'Mapa final'!$AC$30="Menor"),CONCATENATE("R4C",'Mapa final'!$Q$30),"")</f>
        <v/>
      </c>
      <c r="S39" s="68" t="str">
        <f>IF(AND('Mapa final'!$AA$31="Baja",'Mapa final'!$AC$31="Menor"),CONCATENATE("R4C",'Mapa final'!$Q$31),"")</f>
        <v/>
      </c>
      <c r="T39" s="68" t="str">
        <f>IF(AND('Mapa final'!$AA$32="Baja",'Mapa final'!$AC$32="Menor"),CONCATENATE("R4C",'Mapa final'!$Q$32),"")</f>
        <v/>
      </c>
      <c r="U39" s="69" t="str">
        <f>IF(AND('Mapa final'!$AA$33="Baja",'Mapa final'!$AC$33="Menor"),CONCATENATE("R4C",'Mapa final'!$Q$33),"")</f>
        <v/>
      </c>
      <c r="V39" s="67" t="str">
        <f>IF(AND('Mapa final'!$AA$28="Baja",'Mapa final'!$AC$28="Moderado"),CONCATENATE("R4C",'Mapa final'!$Q$28),"")</f>
        <v/>
      </c>
      <c r="W39" s="68" t="str">
        <f>IF(AND('Mapa final'!$AA$29="Baja",'Mapa final'!$AC$29="Moderado"),CONCATENATE("R4C",'Mapa final'!$Q$29),"")</f>
        <v/>
      </c>
      <c r="X39" s="68" t="str">
        <f>IF(AND('Mapa final'!$AA$30="Baja",'Mapa final'!$AC$30="Moderado"),CONCATENATE("R4C",'Mapa final'!$Q$30),"")</f>
        <v/>
      </c>
      <c r="Y39" s="68" t="str">
        <f>IF(AND('Mapa final'!$AA$31="Baja",'Mapa final'!$AC$31="Moderado"),CONCATENATE("R4C",'Mapa final'!$Q$31),"")</f>
        <v/>
      </c>
      <c r="Z39" s="68" t="str">
        <f>IF(AND('Mapa final'!$AA$32="Baja",'Mapa final'!$AC$32="Moderado"),CONCATENATE("R4C",'Mapa final'!$Q$32),"")</f>
        <v/>
      </c>
      <c r="AA39" s="69" t="str">
        <f>IF(AND('Mapa final'!$AA$33="Baja",'Mapa final'!$AC$33="Moderado"),CONCATENATE("R4C",'Mapa final'!$Q$33),"")</f>
        <v/>
      </c>
      <c r="AB39" s="52" t="str">
        <f>IF(AND('Mapa final'!$AA$28="Baja",'Mapa final'!$AC$28="Mayor"),CONCATENATE("R4C",'Mapa final'!$Q$28),"")</f>
        <v/>
      </c>
      <c r="AC39" s="53" t="str">
        <f>IF(AND('Mapa final'!$AA$29="Baja",'Mapa final'!$AC$29="Mayor"),CONCATENATE("R4C",'Mapa final'!$Q$29),"")</f>
        <v/>
      </c>
      <c r="AD39" s="53" t="str">
        <f>IF(AND('Mapa final'!$AA$30="Baja",'Mapa final'!$AC$30="Mayor"),CONCATENATE("R4C",'Mapa final'!$Q$30),"")</f>
        <v/>
      </c>
      <c r="AE39" s="53" t="str">
        <f>IF(AND('Mapa final'!$AA$31="Baja",'Mapa final'!$AC$31="Mayor"),CONCATENATE("R4C",'Mapa final'!$Q$31),"")</f>
        <v/>
      </c>
      <c r="AF39" s="53" t="str">
        <f>IF(AND('Mapa final'!$AA$32="Baja",'Mapa final'!$AC$32="Mayor"),CONCATENATE("R4C",'Mapa final'!$Q$32),"")</f>
        <v/>
      </c>
      <c r="AG39" s="54" t="str">
        <f>IF(AND('Mapa final'!$AA$33="Baja",'Mapa final'!$AC$33="Mayor"),CONCATENATE("R4C",'Mapa final'!$Q$33),"")</f>
        <v/>
      </c>
      <c r="AH39" s="55" t="str">
        <f>IF(AND('Mapa final'!$AA$28="Baja",'Mapa final'!$AC$28="Catastrófico"),CONCATENATE("R4C",'Mapa final'!$Q$28),"")</f>
        <v/>
      </c>
      <c r="AI39" s="56" t="str">
        <f>IF(AND('Mapa final'!$AA$29="Baja",'Mapa final'!$AC$29="Catastrófico"),CONCATENATE("R4C",'Mapa final'!$Q$29),"")</f>
        <v/>
      </c>
      <c r="AJ39" s="56" t="str">
        <f>IF(AND('Mapa final'!$AA$30="Baja",'Mapa final'!$AC$30="Catastrófico"),CONCATENATE("R4C",'Mapa final'!$Q$30),"")</f>
        <v/>
      </c>
      <c r="AK39" s="56" t="str">
        <f>IF(AND('Mapa final'!$AA$31="Baja",'Mapa final'!$AC$31="Catastrófico"),CONCATENATE("R4C",'Mapa final'!$Q$31),"")</f>
        <v/>
      </c>
      <c r="AL39" s="56" t="str">
        <f>IF(AND('Mapa final'!$AA$32="Baja",'Mapa final'!$AC$32="Catastrófico"),CONCATENATE("R4C",'Mapa final'!$Q$32),"")</f>
        <v/>
      </c>
      <c r="AM39" s="57" t="str">
        <f>IF(AND('Mapa final'!$AA$33="Baja",'Mapa final'!$AC$33="Catastrófico"),CONCATENATE("R4C",'Mapa final'!$Q$33),"")</f>
        <v/>
      </c>
      <c r="AN39" s="83"/>
      <c r="AO39" s="362"/>
      <c r="AP39" s="363"/>
      <c r="AQ39" s="363"/>
      <c r="AR39" s="363"/>
      <c r="AS39" s="363"/>
      <c r="AT39" s="36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43"/>
      <c r="C40" s="243"/>
      <c r="D40" s="244"/>
      <c r="E40" s="342"/>
      <c r="F40" s="341"/>
      <c r="G40" s="341"/>
      <c r="H40" s="341"/>
      <c r="I40" s="341"/>
      <c r="J40" s="76" t="str">
        <f>IF(AND('Mapa final'!$AA$34="Baja",'Mapa final'!$AC$34="Leve"),CONCATENATE("R5C",'Mapa final'!$Q$34),"")</f>
        <v/>
      </c>
      <c r="K40" s="77" t="str">
        <f>IF(AND('Mapa final'!$AA$35="Baja",'Mapa final'!$AC$35="Leve"),CONCATENATE("R5C",'Mapa final'!$Q$35),"")</f>
        <v/>
      </c>
      <c r="L40" s="77" t="str">
        <f>IF(AND('Mapa final'!$AA$36="Baja",'Mapa final'!$AC$36="Leve"),CONCATENATE("R5C",'Mapa final'!$Q$36),"")</f>
        <v/>
      </c>
      <c r="M40" s="77" t="str">
        <f>IF(AND('Mapa final'!$AA$37="Baja",'Mapa final'!$AC$37="Leve"),CONCATENATE("R5C",'Mapa final'!$Q$37),"")</f>
        <v/>
      </c>
      <c r="N40" s="77" t="str">
        <f>IF(AND('Mapa final'!$AA$38="Baja",'Mapa final'!$AC$38="Leve"),CONCATENATE("R5C",'Mapa final'!$Q$38),"")</f>
        <v/>
      </c>
      <c r="O40" s="78" t="str">
        <f>IF(AND('Mapa final'!$AA$39="Baja",'Mapa final'!$AC$39="Leve"),CONCATENATE("R5C",'Mapa final'!$Q$39),"")</f>
        <v/>
      </c>
      <c r="P40" s="67" t="str">
        <f>IF(AND('Mapa final'!$AA$34="Baja",'Mapa final'!$AC$34="Menor"),CONCATENATE("R5C",'Mapa final'!$Q$34),"")</f>
        <v/>
      </c>
      <c r="Q40" s="68" t="str">
        <f>IF(AND('Mapa final'!$AA$35="Baja",'Mapa final'!$AC$35="Menor"),CONCATENATE("R5C",'Mapa final'!$Q$35),"")</f>
        <v/>
      </c>
      <c r="R40" s="68" t="str">
        <f>IF(AND('Mapa final'!$AA$36="Baja",'Mapa final'!$AC$36="Menor"),CONCATENATE("R5C",'Mapa final'!$Q$36),"")</f>
        <v/>
      </c>
      <c r="S40" s="68" t="str">
        <f>IF(AND('Mapa final'!$AA$37="Baja",'Mapa final'!$AC$37="Menor"),CONCATENATE("R5C",'Mapa final'!$Q$37),"")</f>
        <v/>
      </c>
      <c r="T40" s="68" t="str">
        <f>IF(AND('Mapa final'!$AA$38="Baja",'Mapa final'!$AC$38="Menor"),CONCATENATE("R5C",'Mapa final'!$Q$38),"")</f>
        <v/>
      </c>
      <c r="U40" s="69" t="str">
        <f>IF(AND('Mapa final'!$AA$39="Baja",'Mapa final'!$AC$39="Menor"),CONCATENATE("R5C",'Mapa final'!$Q$39),"")</f>
        <v/>
      </c>
      <c r="V40" s="67" t="str">
        <f>IF(AND('Mapa final'!$AA$34="Baja",'Mapa final'!$AC$34="Moderado"),CONCATENATE("R5C",'Mapa final'!$Q$34),"")</f>
        <v/>
      </c>
      <c r="W40" s="68" t="str">
        <f>IF(AND('Mapa final'!$AA$35="Baja",'Mapa final'!$AC$35="Moderado"),CONCATENATE("R5C",'Mapa final'!$Q$35),"")</f>
        <v/>
      </c>
      <c r="X40" s="68" t="str">
        <f>IF(AND('Mapa final'!$AA$36="Baja",'Mapa final'!$AC$36="Moderado"),CONCATENATE("R5C",'Mapa final'!$Q$36),"")</f>
        <v/>
      </c>
      <c r="Y40" s="68" t="str">
        <f>IF(AND('Mapa final'!$AA$37="Baja",'Mapa final'!$AC$37="Moderado"),CONCATENATE("R5C",'Mapa final'!$Q$37),"")</f>
        <v/>
      </c>
      <c r="Z40" s="68" t="str">
        <f>IF(AND('Mapa final'!$AA$38="Baja",'Mapa final'!$AC$38="Moderado"),CONCATENATE("R5C",'Mapa final'!$Q$38),"")</f>
        <v/>
      </c>
      <c r="AA40" s="69" t="str">
        <f>IF(AND('Mapa final'!$AA$39="Baja",'Mapa final'!$AC$39="Moderado"),CONCATENATE("R5C",'Mapa final'!$Q$39),"")</f>
        <v/>
      </c>
      <c r="AB40" s="52" t="str">
        <f>IF(AND('Mapa final'!$AA$34="Baja",'Mapa final'!$AC$34="Mayor"),CONCATENATE("R5C",'Mapa final'!$Q$34),"")</f>
        <v/>
      </c>
      <c r="AC40" s="53" t="str">
        <f>IF(AND('Mapa final'!$AA$35="Baja",'Mapa final'!$AC$35="Mayor"),CONCATENATE("R5C",'Mapa final'!$Q$35),"")</f>
        <v/>
      </c>
      <c r="AD40" s="53" t="str">
        <f>IF(AND('Mapa final'!$AA$36="Baja",'Mapa final'!$AC$36="Mayor"),CONCATENATE("R5C",'Mapa final'!$Q$36),"")</f>
        <v/>
      </c>
      <c r="AE40" s="53" t="str">
        <f>IF(AND('Mapa final'!$AA$37="Baja",'Mapa final'!$AC$37="Mayor"),CONCATENATE("R5C",'Mapa final'!$Q$37),"")</f>
        <v/>
      </c>
      <c r="AF40" s="53" t="str">
        <f>IF(AND('Mapa final'!$AA$38="Baja",'Mapa final'!$AC$38="Mayor"),CONCATENATE("R5C",'Mapa final'!$Q$38),"")</f>
        <v/>
      </c>
      <c r="AG40" s="54" t="str">
        <f>IF(AND('Mapa final'!$AA$39="Baja",'Mapa final'!$AC$39="Mayor"),CONCATENATE("R5C",'Mapa final'!$Q$39),"")</f>
        <v/>
      </c>
      <c r="AH40" s="55" t="str">
        <f>IF(AND('Mapa final'!$AA$34="Baja",'Mapa final'!$AC$34="Catastrófico"),CONCATENATE("R5C",'Mapa final'!$Q$34),"")</f>
        <v/>
      </c>
      <c r="AI40" s="56" t="str">
        <f>IF(AND('Mapa final'!$AA$35="Baja",'Mapa final'!$AC$35="Catastrófico"),CONCATENATE("R5C",'Mapa final'!$Q$35),"")</f>
        <v/>
      </c>
      <c r="AJ40" s="56" t="str">
        <f>IF(AND('Mapa final'!$AA$36="Baja",'Mapa final'!$AC$36="Catastrófico"),CONCATENATE("R5C",'Mapa final'!$Q$36),"")</f>
        <v/>
      </c>
      <c r="AK40" s="56" t="str">
        <f>IF(AND('Mapa final'!$AA$37="Baja",'Mapa final'!$AC$37="Catastrófico"),CONCATENATE("R5C",'Mapa final'!$Q$37),"")</f>
        <v/>
      </c>
      <c r="AL40" s="56" t="str">
        <f>IF(AND('Mapa final'!$AA$38="Baja",'Mapa final'!$AC$38="Catastrófico"),CONCATENATE("R5C",'Mapa final'!$Q$38),"")</f>
        <v/>
      </c>
      <c r="AM40" s="57" t="str">
        <f>IF(AND('Mapa final'!$AA$39="Baja",'Mapa final'!$AC$39="Catastrófico"),CONCATENATE("R5C",'Mapa final'!$Q$39),"")</f>
        <v/>
      </c>
      <c r="AN40" s="83"/>
      <c r="AO40" s="362"/>
      <c r="AP40" s="363"/>
      <c r="AQ40" s="363"/>
      <c r="AR40" s="363"/>
      <c r="AS40" s="363"/>
      <c r="AT40" s="36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43"/>
      <c r="C41" s="243"/>
      <c r="D41" s="244"/>
      <c r="E41" s="342"/>
      <c r="F41" s="341"/>
      <c r="G41" s="341"/>
      <c r="H41" s="341"/>
      <c r="I41" s="341"/>
      <c r="J41" s="76" t="str">
        <f>IF(AND('Mapa final'!$AA$40="Baja",'Mapa final'!$AC$40="Leve"),CONCATENATE("R6C",'Mapa final'!$Q$40),"")</f>
        <v/>
      </c>
      <c r="K41" s="77" t="str">
        <f>IF(AND('Mapa final'!$AA$41="Baja",'Mapa final'!$AC$41="Leve"),CONCATENATE("R6C",'Mapa final'!$Q$41),"")</f>
        <v/>
      </c>
      <c r="L41" s="77" t="str">
        <f>IF(AND('Mapa final'!$AA$42="Baja",'Mapa final'!$AC$42="Leve"),CONCATENATE("R6C",'Mapa final'!$Q$42),"")</f>
        <v/>
      </c>
      <c r="M41" s="77" t="str">
        <f>IF(AND('Mapa final'!$AA$43="Baja",'Mapa final'!$AC$43="Leve"),CONCATENATE("R6C",'Mapa final'!$Q$43),"")</f>
        <v/>
      </c>
      <c r="N41" s="77" t="str">
        <f>IF(AND('Mapa final'!$AA$44="Baja",'Mapa final'!$AC$44="Leve"),CONCATENATE("R6C",'Mapa final'!$Q$44),"")</f>
        <v/>
      </c>
      <c r="O41" s="78" t="str">
        <f>IF(AND('Mapa final'!$AA$45="Baja",'Mapa final'!$AC$45="Leve"),CONCATENATE("R6C",'Mapa final'!$Q$45),"")</f>
        <v/>
      </c>
      <c r="P41" s="67" t="str">
        <f>IF(AND('Mapa final'!$AA$40="Baja",'Mapa final'!$AC$40="Menor"),CONCATENATE("R6C",'Mapa final'!$Q$40),"")</f>
        <v/>
      </c>
      <c r="Q41" s="68" t="str">
        <f>IF(AND('Mapa final'!$AA$41="Baja",'Mapa final'!$AC$41="Menor"),CONCATENATE("R6C",'Mapa final'!$Q$41),"")</f>
        <v/>
      </c>
      <c r="R41" s="68" t="str">
        <f>IF(AND('Mapa final'!$AA$42="Baja",'Mapa final'!$AC$42="Menor"),CONCATENATE("R6C",'Mapa final'!$Q$42),"")</f>
        <v/>
      </c>
      <c r="S41" s="68" t="str">
        <f>IF(AND('Mapa final'!$AA$43="Baja",'Mapa final'!$AC$43="Menor"),CONCATENATE("R6C",'Mapa final'!$Q$43),"")</f>
        <v/>
      </c>
      <c r="T41" s="68" t="str">
        <f>IF(AND('Mapa final'!$AA$44="Baja",'Mapa final'!$AC$44="Menor"),CONCATENATE("R6C",'Mapa final'!$Q$44),"")</f>
        <v/>
      </c>
      <c r="U41" s="69" t="str">
        <f>IF(AND('Mapa final'!$AA$45="Baja",'Mapa final'!$AC$45="Menor"),CONCATENATE("R6C",'Mapa final'!$Q$45),"")</f>
        <v/>
      </c>
      <c r="V41" s="67" t="str">
        <f>IF(AND('Mapa final'!$AA$40="Baja",'Mapa final'!$AC$40="Moderado"),CONCATENATE("R6C",'Mapa final'!$Q$40),"")</f>
        <v/>
      </c>
      <c r="W41" s="68" t="str">
        <f>IF(AND('Mapa final'!$AA$41="Baja",'Mapa final'!$AC$41="Moderado"),CONCATENATE("R6C",'Mapa final'!$Q$41),"")</f>
        <v/>
      </c>
      <c r="X41" s="68" t="str">
        <f>IF(AND('Mapa final'!$AA$42="Baja",'Mapa final'!$AC$42="Moderado"),CONCATENATE("R6C",'Mapa final'!$Q$42),"")</f>
        <v/>
      </c>
      <c r="Y41" s="68" t="str">
        <f>IF(AND('Mapa final'!$AA$43="Baja",'Mapa final'!$AC$43="Moderado"),CONCATENATE("R6C",'Mapa final'!$Q$43),"")</f>
        <v/>
      </c>
      <c r="Z41" s="68" t="str">
        <f>IF(AND('Mapa final'!$AA$44="Baja",'Mapa final'!$AC$44="Moderado"),CONCATENATE("R6C",'Mapa final'!$Q$44),"")</f>
        <v/>
      </c>
      <c r="AA41" s="69" t="str">
        <f>IF(AND('Mapa final'!$AA$45="Baja",'Mapa final'!$AC$45="Moderado"),CONCATENATE("R6C",'Mapa final'!$Q$45),"")</f>
        <v/>
      </c>
      <c r="AB41" s="52" t="str">
        <f>IF(AND('Mapa final'!$AA$40="Baja",'Mapa final'!$AC$40="Mayor"),CONCATENATE("R6C",'Mapa final'!$Q$40),"")</f>
        <v/>
      </c>
      <c r="AC41" s="53" t="str">
        <f>IF(AND('Mapa final'!$AA$41="Baja",'Mapa final'!$AC$41="Mayor"),CONCATENATE("R6C",'Mapa final'!$Q$41),"")</f>
        <v/>
      </c>
      <c r="AD41" s="53" t="str">
        <f>IF(AND('Mapa final'!$AA$42="Baja",'Mapa final'!$AC$42="Mayor"),CONCATENATE("R6C",'Mapa final'!$Q$42),"")</f>
        <v/>
      </c>
      <c r="AE41" s="53" t="str">
        <f>IF(AND('Mapa final'!$AA$43="Baja",'Mapa final'!$AC$43="Mayor"),CONCATENATE("R6C",'Mapa final'!$Q$43),"")</f>
        <v/>
      </c>
      <c r="AF41" s="53" t="str">
        <f>IF(AND('Mapa final'!$AA$44="Baja",'Mapa final'!$AC$44="Mayor"),CONCATENATE("R6C",'Mapa final'!$Q$44),"")</f>
        <v/>
      </c>
      <c r="AG41" s="54" t="str">
        <f>IF(AND('Mapa final'!$AA$45="Baja",'Mapa final'!$AC$45="Mayor"),CONCATENATE("R6C",'Mapa final'!$Q$45),"")</f>
        <v/>
      </c>
      <c r="AH41" s="55" t="str">
        <f>IF(AND('Mapa final'!$AA$40="Baja",'Mapa final'!$AC$40="Catastrófico"),CONCATENATE("R6C",'Mapa final'!$Q$40),"")</f>
        <v/>
      </c>
      <c r="AI41" s="56" t="str">
        <f>IF(AND('Mapa final'!$AA$41="Baja",'Mapa final'!$AC$41="Catastrófico"),CONCATENATE("R6C",'Mapa final'!$Q$41),"")</f>
        <v/>
      </c>
      <c r="AJ41" s="56" t="str">
        <f>IF(AND('Mapa final'!$AA$42="Baja",'Mapa final'!$AC$42="Catastrófico"),CONCATENATE("R6C",'Mapa final'!$Q$42),"")</f>
        <v/>
      </c>
      <c r="AK41" s="56" t="str">
        <f>IF(AND('Mapa final'!$AA$43="Baja",'Mapa final'!$AC$43="Catastrófico"),CONCATENATE("R6C",'Mapa final'!$Q$43),"")</f>
        <v/>
      </c>
      <c r="AL41" s="56" t="str">
        <f>IF(AND('Mapa final'!$AA$44="Baja",'Mapa final'!$AC$44="Catastrófico"),CONCATENATE("R6C",'Mapa final'!$Q$44),"")</f>
        <v/>
      </c>
      <c r="AM41" s="57" t="str">
        <f>IF(AND('Mapa final'!$AA$45="Baja",'Mapa final'!$AC$45="Catastrófico"),CONCATENATE("R6C",'Mapa final'!$Q$45),"")</f>
        <v/>
      </c>
      <c r="AN41" s="83"/>
      <c r="AO41" s="362"/>
      <c r="AP41" s="363"/>
      <c r="AQ41" s="363"/>
      <c r="AR41" s="363"/>
      <c r="AS41" s="363"/>
      <c r="AT41" s="36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43"/>
      <c r="C42" s="243"/>
      <c r="D42" s="244"/>
      <c r="E42" s="342"/>
      <c r="F42" s="341"/>
      <c r="G42" s="341"/>
      <c r="H42" s="341"/>
      <c r="I42" s="341"/>
      <c r="J42" s="76" t="str">
        <f>IF(AND('Mapa final'!$AA$46="Baja",'Mapa final'!$AC$46="Leve"),CONCATENATE("R7C",'Mapa final'!$Q$46),"")</f>
        <v/>
      </c>
      <c r="K42" s="77" t="str">
        <f>IF(AND('Mapa final'!$AA$47="Baja",'Mapa final'!$AC$47="Leve"),CONCATENATE("R7C",'Mapa final'!$Q$47),"")</f>
        <v/>
      </c>
      <c r="L42" s="77" t="str">
        <f>IF(AND('Mapa final'!$AA$48="Baja",'Mapa final'!$AC$48="Leve"),CONCATENATE("R7C",'Mapa final'!$Q$48),"")</f>
        <v/>
      </c>
      <c r="M42" s="77" t="str">
        <f>IF(AND('Mapa final'!$AA$49="Baja",'Mapa final'!$AC$49="Leve"),CONCATENATE("R7C",'Mapa final'!$Q$49),"")</f>
        <v/>
      </c>
      <c r="N42" s="77" t="str">
        <f>IF(AND('Mapa final'!$AA$50="Baja",'Mapa final'!$AC$50="Leve"),CONCATENATE("R7C",'Mapa final'!$Q$50),"")</f>
        <v/>
      </c>
      <c r="O42" s="78" t="str">
        <f>IF(AND('Mapa final'!$AA$51="Baja",'Mapa final'!$AC$51="Leve"),CONCATENATE("R7C",'Mapa final'!$Q$51),"")</f>
        <v/>
      </c>
      <c r="P42" s="67" t="str">
        <f>IF(AND('Mapa final'!$AA$46="Baja",'Mapa final'!$AC$46="Menor"),CONCATENATE("R7C",'Mapa final'!$Q$46),"")</f>
        <v/>
      </c>
      <c r="Q42" s="68" t="str">
        <f>IF(AND('Mapa final'!$AA$47="Baja",'Mapa final'!$AC$47="Menor"),CONCATENATE("R7C",'Mapa final'!$Q$47),"")</f>
        <v/>
      </c>
      <c r="R42" s="68" t="str">
        <f>IF(AND('Mapa final'!$AA$48="Baja",'Mapa final'!$AC$48="Menor"),CONCATENATE("R7C",'Mapa final'!$Q$48),"")</f>
        <v/>
      </c>
      <c r="S42" s="68" t="str">
        <f>IF(AND('Mapa final'!$AA$49="Baja",'Mapa final'!$AC$49="Menor"),CONCATENATE("R7C",'Mapa final'!$Q$49),"")</f>
        <v/>
      </c>
      <c r="T42" s="68" t="str">
        <f>IF(AND('Mapa final'!$AA$50="Baja",'Mapa final'!$AC$50="Menor"),CONCATENATE("R7C",'Mapa final'!$Q$50),"")</f>
        <v/>
      </c>
      <c r="U42" s="69" t="str">
        <f>IF(AND('Mapa final'!$AA$51="Baja",'Mapa final'!$AC$51="Menor"),CONCATENATE("R7C",'Mapa final'!$Q$51),"")</f>
        <v/>
      </c>
      <c r="V42" s="67" t="str">
        <f>IF(AND('Mapa final'!$AA$46="Baja",'Mapa final'!$AC$46="Moderado"),CONCATENATE("R7C",'Mapa final'!$Q$46),"")</f>
        <v/>
      </c>
      <c r="W42" s="68" t="str">
        <f>IF(AND('Mapa final'!$AA$47="Baja",'Mapa final'!$AC$47="Moderado"),CONCATENATE("R7C",'Mapa final'!$Q$47),"")</f>
        <v/>
      </c>
      <c r="X42" s="68" t="str">
        <f>IF(AND('Mapa final'!$AA$48="Baja",'Mapa final'!$AC$48="Moderado"),CONCATENATE("R7C",'Mapa final'!$Q$48),"")</f>
        <v/>
      </c>
      <c r="Y42" s="68" t="str">
        <f>IF(AND('Mapa final'!$AA$49="Baja",'Mapa final'!$AC$49="Moderado"),CONCATENATE("R7C",'Mapa final'!$Q$49),"")</f>
        <v/>
      </c>
      <c r="Z42" s="68" t="str">
        <f>IF(AND('Mapa final'!$AA$50="Baja",'Mapa final'!$AC$50="Moderado"),CONCATENATE("R7C",'Mapa final'!$Q$50),"")</f>
        <v/>
      </c>
      <c r="AA42" s="69" t="str">
        <f>IF(AND('Mapa final'!$AA$51="Baja",'Mapa final'!$AC$51="Moderado"),CONCATENATE("R7C",'Mapa final'!$Q$51),"")</f>
        <v/>
      </c>
      <c r="AB42" s="52" t="str">
        <f>IF(AND('Mapa final'!$AA$46="Baja",'Mapa final'!$AC$46="Mayor"),CONCATENATE("R7C",'Mapa final'!$Q$46),"")</f>
        <v/>
      </c>
      <c r="AC42" s="53" t="str">
        <f>IF(AND('Mapa final'!$AA$47="Baja",'Mapa final'!$AC$47="Mayor"),CONCATENATE("R7C",'Mapa final'!$Q$47),"")</f>
        <v/>
      </c>
      <c r="AD42" s="53" t="str">
        <f>IF(AND('Mapa final'!$AA$48="Baja",'Mapa final'!$AC$48="Mayor"),CONCATENATE("R7C",'Mapa final'!$Q$48),"")</f>
        <v/>
      </c>
      <c r="AE42" s="53" t="str">
        <f>IF(AND('Mapa final'!$AA$49="Baja",'Mapa final'!$AC$49="Mayor"),CONCATENATE("R7C",'Mapa final'!$Q$49),"")</f>
        <v/>
      </c>
      <c r="AF42" s="53" t="str">
        <f>IF(AND('Mapa final'!$AA$50="Baja",'Mapa final'!$AC$50="Mayor"),CONCATENATE("R7C",'Mapa final'!$Q$50),"")</f>
        <v/>
      </c>
      <c r="AG42" s="54" t="str">
        <f>IF(AND('Mapa final'!$AA$51="Baja",'Mapa final'!$AC$51="Mayor"),CONCATENATE("R7C",'Mapa final'!$Q$51),"")</f>
        <v/>
      </c>
      <c r="AH42" s="55" t="str">
        <f>IF(AND('Mapa final'!$AA$46="Baja",'Mapa final'!$AC$46="Catastrófico"),CONCATENATE("R7C",'Mapa final'!$Q$46),"")</f>
        <v/>
      </c>
      <c r="AI42" s="56" t="str">
        <f>IF(AND('Mapa final'!$AA$47="Baja",'Mapa final'!$AC$47="Catastrófico"),CONCATENATE("R7C",'Mapa final'!$Q$47),"")</f>
        <v/>
      </c>
      <c r="AJ42" s="56" t="str">
        <f>IF(AND('Mapa final'!$AA$48="Baja",'Mapa final'!$AC$48="Catastrófico"),CONCATENATE("R7C",'Mapa final'!$Q$48),"")</f>
        <v/>
      </c>
      <c r="AK42" s="56" t="str">
        <f>IF(AND('Mapa final'!$AA$49="Baja",'Mapa final'!$AC$49="Catastrófico"),CONCATENATE("R7C",'Mapa final'!$Q$49),"")</f>
        <v/>
      </c>
      <c r="AL42" s="56" t="str">
        <f>IF(AND('Mapa final'!$AA$50="Baja",'Mapa final'!$AC$50="Catastrófico"),CONCATENATE("R7C",'Mapa final'!$Q$50),"")</f>
        <v/>
      </c>
      <c r="AM42" s="57" t="str">
        <f>IF(AND('Mapa final'!$AA$51="Baja",'Mapa final'!$AC$51="Catastrófico"),CONCATENATE("R7C",'Mapa final'!$Q$51),"")</f>
        <v/>
      </c>
      <c r="AN42" s="83"/>
      <c r="AO42" s="362"/>
      <c r="AP42" s="363"/>
      <c r="AQ42" s="363"/>
      <c r="AR42" s="363"/>
      <c r="AS42" s="363"/>
      <c r="AT42" s="36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43"/>
      <c r="C43" s="243"/>
      <c r="D43" s="244"/>
      <c r="E43" s="342"/>
      <c r="F43" s="341"/>
      <c r="G43" s="341"/>
      <c r="H43" s="341"/>
      <c r="I43" s="341"/>
      <c r="J43" s="76" t="str">
        <f>IF(AND('Mapa final'!$AA$52="Baja",'Mapa final'!$AC$52="Leve"),CONCATENATE("R8C",'Mapa final'!$Q$52),"")</f>
        <v/>
      </c>
      <c r="K43" s="77" t="str">
        <f>IF(AND('Mapa final'!$AA$53="Baja",'Mapa final'!$AC$53="Leve"),CONCATENATE("R8C",'Mapa final'!$Q$53),"")</f>
        <v/>
      </c>
      <c r="L43" s="77" t="str">
        <f>IF(AND('Mapa final'!$AA$54="Baja",'Mapa final'!$AC$54="Leve"),CONCATENATE("R8C",'Mapa final'!$Q$54),"")</f>
        <v/>
      </c>
      <c r="M43" s="77" t="str">
        <f>IF(AND('Mapa final'!$AA$55="Baja",'Mapa final'!$AC$55="Leve"),CONCATENATE("R8C",'Mapa final'!$Q$55),"")</f>
        <v/>
      </c>
      <c r="N43" s="77" t="str">
        <f>IF(AND('Mapa final'!$AA$56="Baja",'Mapa final'!$AC$56="Leve"),CONCATENATE("R8C",'Mapa final'!$Q$56),"")</f>
        <v/>
      </c>
      <c r="O43" s="78" t="str">
        <f>IF(AND('Mapa final'!$AA$57="Baja",'Mapa final'!$AC$57="Leve"),CONCATENATE("R8C",'Mapa final'!$Q$57),"")</f>
        <v/>
      </c>
      <c r="P43" s="67" t="str">
        <f>IF(AND('Mapa final'!$AA$52="Baja",'Mapa final'!$AC$52="Menor"),CONCATENATE("R8C",'Mapa final'!$Q$52),"")</f>
        <v/>
      </c>
      <c r="Q43" s="68" t="str">
        <f>IF(AND('Mapa final'!$AA$53="Baja",'Mapa final'!$AC$53="Menor"),CONCATENATE("R8C",'Mapa final'!$Q$53),"")</f>
        <v/>
      </c>
      <c r="R43" s="68" t="str">
        <f>IF(AND('Mapa final'!$AA$54="Baja",'Mapa final'!$AC$54="Menor"),CONCATENATE("R8C",'Mapa final'!$Q$54),"")</f>
        <v/>
      </c>
      <c r="S43" s="68" t="str">
        <f>IF(AND('Mapa final'!$AA$55="Baja",'Mapa final'!$AC$55="Menor"),CONCATENATE("R8C",'Mapa final'!$Q$55),"")</f>
        <v/>
      </c>
      <c r="T43" s="68" t="str">
        <f>IF(AND('Mapa final'!$AA$56="Baja",'Mapa final'!$AC$56="Menor"),CONCATENATE("R8C",'Mapa final'!$Q$56),"")</f>
        <v/>
      </c>
      <c r="U43" s="69" t="str">
        <f>IF(AND('Mapa final'!$AA$57="Baja",'Mapa final'!$AC$57="Menor"),CONCATENATE("R8C",'Mapa final'!$Q$57),"")</f>
        <v/>
      </c>
      <c r="V43" s="67" t="str">
        <f>IF(AND('Mapa final'!$AA$52="Baja",'Mapa final'!$AC$52="Moderado"),CONCATENATE("R8C",'Mapa final'!$Q$52),"")</f>
        <v/>
      </c>
      <c r="W43" s="68" t="str">
        <f>IF(AND('Mapa final'!$AA$53="Baja",'Mapa final'!$AC$53="Moderado"),CONCATENATE("R8C",'Mapa final'!$Q$53),"")</f>
        <v/>
      </c>
      <c r="X43" s="68" t="str">
        <f>IF(AND('Mapa final'!$AA$54="Baja",'Mapa final'!$AC$54="Moderado"),CONCATENATE("R8C",'Mapa final'!$Q$54),"")</f>
        <v/>
      </c>
      <c r="Y43" s="68" t="str">
        <f>IF(AND('Mapa final'!$AA$55="Baja",'Mapa final'!$AC$55="Moderado"),CONCATENATE("R8C",'Mapa final'!$Q$55),"")</f>
        <v/>
      </c>
      <c r="Z43" s="68" t="str">
        <f>IF(AND('Mapa final'!$AA$56="Baja",'Mapa final'!$AC$56="Moderado"),CONCATENATE("R8C",'Mapa final'!$Q$56),"")</f>
        <v/>
      </c>
      <c r="AA43" s="69" t="str">
        <f>IF(AND('Mapa final'!$AA$57="Baja",'Mapa final'!$AC$57="Moderado"),CONCATENATE("R8C",'Mapa final'!$Q$57),"")</f>
        <v/>
      </c>
      <c r="AB43" s="52" t="str">
        <f>IF(AND('Mapa final'!$AA$52="Baja",'Mapa final'!$AC$52="Mayor"),CONCATENATE("R8C",'Mapa final'!$Q$52),"")</f>
        <v/>
      </c>
      <c r="AC43" s="53" t="str">
        <f>IF(AND('Mapa final'!$AA$53="Baja",'Mapa final'!$AC$53="Mayor"),CONCATENATE("R8C",'Mapa final'!$Q$53),"")</f>
        <v/>
      </c>
      <c r="AD43" s="53" t="str">
        <f>IF(AND('Mapa final'!$AA$54="Baja",'Mapa final'!$AC$54="Mayor"),CONCATENATE("R8C",'Mapa final'!$Q$54),"")</f>
        <v/>
      </c>
      <c r="AE43" s="53" t="str">
        <f>IF(AND('Mapa final'!$AA$55="Baja",'Mapa final'!$AC$55="Mayor"),CONCATENATE("R8C",'Mapa final'!$Q$55),"")</f>
        <v/>
      </c>
      <c r="AF43" s="53" t="str">
        <f>IF(AND('Mapa final'!$AA$56="Baja",'Mapa final'!$AC$56="Mayor"),CONCATENATE("R8C",'Mapa final'!$Q$56),"")</f>
        <v/>
      </c>
      <c r="AG43" s="54" t="str">
        <f>IF(AND('Mapa final'!$AA$57="Baja",'Mapa final'!$AC$57="Mayor"),CONCATENATE("R8C",'Mapa final'!$Q$57),"")</f>
        <v/>
      </c>
      <c r="AH43" s="55" t="str">
        <f>IF(AND('Mapa final'!$AA$52="Baja",'Mapa final'!$AC$52="Catastrófico"),CONCATENATE("R8C",'Mapa final'!$Q$52),"")</f>
        <v/>
      </c>
      <c r="AI43" s="56" t="str">
        <f>IF(AND('Mapa final'!$AA$53="Baja",'Mapa final'!$AC$53="Catastrófico"),CONCATENATE("R8C",'Mapa final'!$Q$53),"")</f>
        <v/>
      </c>
      <c r="AJ43" s="56" t="str">
        <f>IF(AND('Mapa final'!$AA$54="Baja",'Mapa final'!$AC$54="Catastrófico"),CONCATENATE("R8C",'Mapa final'!$Q$54),"")</f>
        <v/>
      </c>
      <c r="AK43" s="56" t="str">
        <f>IF(AND('Mapa final'!$AA$55="Baja",'Mapa final'!$AC$55="Catastrófico"),CONCATENATE("R8C",'Mapa final'!$Q$55),"")</f>
        <v/>
      </c>
      <c r="AL43" s="56" t="str">
        <f>IF(AND('Mapa final'!$AA$56="Baja",'Mapa final'!$AC$56="Catastrófico"),CONCATENATE("R8C",'Mapa final'!$Q$56),"")</f>
        <v/>
      </c>
      <c r="AM43" s="57" t="str">
        <f>IF(AND('Mapa final'!$AA$57="Baja",'Mapa final'!$AC$57="Catastrófico"),CONCATENATE("R8C",'Mapa final'!$Q$57),"")</f>
        <v/>
      </c>
      <c r="AN43" s="83"/>
      <c r="AO43" s="362"/>
      <c r="AP43" s="363"/>
      <c r="AQ43" s="363"/>
      <c r="AR43" s="363"/>
      <c r="AS43" s="363"/>
      <c r="AT43" s="36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43"/>
      <c r="C44" s="243"/>
      <c r="D44" s="244"/>
      <c r="E44" s="342"/>
      <c r="F44" s="341"/>
      <c r="G44" s="341"/>
      <c r="H44" s="341"/>
      <c r="I44" s="341"/>
      <c r="J44" s="76" t="str">
        <f>IF(AND('Mapa final'!$AA$58="Baja",'Mapa final'!$AC$58="Leve"),CONCATENATE("R9C",'Mapa final'!$Q$58),"")</f>
        <v/>
      </c>
      <c r="K44" s="77" t="str">
        <f>IF(AND('Mapa final'!$AA$59="Baja",'Mapa final'!$AC$59="Leve"),CONCATENATE("R9C",'Mapa final'!$Q$59),"")</f>
        <v/>
      </c>
      <c r="L44" s="77" t="str">
        <f>IF(AND('Mapa final'!$AA$60="Baja",'Mapa final'!$AC$60="Leve"),CONCATENATE("R9C",'Mapa final'!$Q$60),"")</f>
        <v/>
      </c>
      <c r="M44" s="77" t="str">
        <f>IF(AND('Mapa final'!$AA$61="Baja",'Mapa final'!$AC$61="Leve"),CONCATENATE("R9C",'Mapa final'!$Q$61),"")</f>
        <v/>
      </c>
      <c r="N44" s="77" t="str">
        <f>IF(AND('Mapa final'!$AA$62="Baja",'Mapa final'!$AC$62="Leve"),CONCATENATE("R9C",'Mapa final'!$Q$62),"")</f>
        <v/>
      </c>
      <c r="O44" s="78" t="str">
        <f>IF(AND('Mapa final'!$AA$63="Baja",'Mapa final'!$AC$63="Leve"),CONCATENATE("R9C",'Mapa final'!$Q$63),"")</f>
        <v/>
      </c>
      <c r="P44" s="67" t="str">
        <f>IF(AND('Mapa final'!$AA$58="Baja",'Mapa final'!$AC$58="Menor"),CONCATENATE("R9C",'Mapa final'!$Q$58),"")</f>
        <v/>
      </c>
      <c r="Q44" s="68" t="str">
        <f>IF(AND('Mapa final'!$AA$59="Baja",'Mapa final'!$AC$59="Menor"),CONCATENATE("R9C",'Mapa final'!$Q$59),"")</f>
        <v/>
      </c>
      <c r="R44" s="68" t="str">
        <f>IF(AND('Mapa final'!$AA$60="Baja",'Mapa final'!$AC$60="Menor"),CONCATENATE("R9C",'Mapa final'!$Q$60),"")</f>
        <v/>
      </c>
      <c r="S44" s="68" t="str">
        <f>IF(AND('Mapa final'!$AA$61="Baja",'Mapa final'!$AC$61="Menor"),CONCATENATE("R9C",'Mapa final'!$Q$61),"")</f>
        <v/>
      </c>
      <c r="T44" s="68" t="str">
        <f>IF(AND('Mapa final'!$AA$62="Baja",'Mapa final'!$AC$62="Menor"),CONCATENATE("R9C",'Mapa final'!$Q$62),"")</f>
        <v/>
      </c>
      <c r="U44" s="69" t="str">
        <f>IF(AND('Mapa final'!$AA$63="Baja",'Mapa final'!$AC$63="Menor"),CONCATENATE("R9C",'Mapa final'!$Q$63),"")</f>
        <v/>
      </c>
      <c r="V44" s="67" t="str">
        <f>IF(AND('Mapa final'!$AA$58="Baja",'Mapa final'!$AC$58="Moderado"),CONCATENATE("R9C",'Mapa final'!$Q$58),"")</f>
        <v/>
      </c>
      <c r="W44" s="68" t="str">
        <f>IF(AND('Mapa final'!$AA$59="Baja",'Mapa final'!$AC$59="Moderado"),CONCATENATE("R9C",'Mapa final'!$Q$59),"")</f>
        <v/>
      </c>
      <c r="X44" s="68" t="str">
        <f>IF(AND('Mapa final'!$AA$60="Baja",'Mapa final'!$AC$60="Moderado"),CONCATENATE("R9C",'Mapa final'!$Q$60),"")</f>
        <v/>
      </c>
      <c r="Y44" s="68" t="str">
        <f>IF(AND('Mapa final'!$AA$61="Baja",'Mapa final'!$AC$61="Moderado"),CONCATENATE("R9C",'Mapa final'!$Q$61),"")</f>
        <v/>
      </c>
      <c r="Z44" s="68" t="str">
        <f>IF(AND('Mapa final'!$AA$62="Baja",'Mapa final'!$AC$62="Moderado"),CONCATENATE("R9C",'Mapa final'!$Q$62),"")</f>
        <v/>
      </c>
      <c r="AA44" s="69" t="str">
        <f>IF(AND('Mapa final'!$AA$63="Baja",'Mapa final'!$AC$63="Moderado"),CONCATENATE("R9C",'Mapa final'!$Q$63),"")</f>
        <v/>
      </c>
      <c r="AB44" s="52" t="str">
        <f>IF(AND('Mapa final'!$AA$58="Baja",'Mapa final'!$AC$58="Mayor"),CONCATENATE("R9C",'Mapa final'!$Q$58),"")</f>
        <v/>
      </c>
      <c r="AC44" s="53" t="str">
        <f>IF(AND('Mapa final'!$AA$59="Baja",'Mapa final'!$AC$59="Mayor"),CONCATENATE("R9C",'Mapa final'!$Q$59),"")</f>
        <v/>
      </c>
      <c r="AD44" s="53" t="str">
        <f>IF(AND('Mapa final'!$AA$60="Baja",'Mapa final'!$AC$60="Mayor"),CONCATENATE("R9C",'Mapa final'!$Q$60),"")</f>
        <v/>
      </c>
      <c r="AE44" s="53" t="str">
        <f>IF(AND('Mapa final'!$AA$61="Baja",'Mapa final'!$AC$61="Mayor"),CONCATENATE("R9C",'Mapa final'!$Q$61),"")</f>
        <v/>
      </c>
      <c r="AF44" s="53" t="str">
        <f>IF(AND('Mapa final'!$AA$62="Baja",'Mapa final'!$AC$62="Mayor"),CONCATENATE("R9C",'Mapa final'!$Q$62),"")</f>
        <v/>
      </c>
      <c r="AG44" s="54" t="str">
        <f>IF(AND('Mapa final'!$AA$63="Baja",'Mapa final'!$AC$63="Mayor"),CONCATENATE("R9C",'Mapa final'!$Q$63),"")</f>
        <v/>
      </c>
      <c r="AH44" s="55" t="str">
        <f>IF(AND('Mapa final'!$AA$58="Baja",'Mapa final'!$AC$58="Catastrófico"),CONCATENATE("R9C",'Mapa final'!$Q$58),"")</f>
        <v/>
      </c>
      <c r="AI44" s="56" t="str">
        <f>IF(AND('Mapa final'!$AA$59="Baja",'Mapa final'!$AC$59="Catastrófico"),CONCATENATE("R9C",'Mapa final'!$Q$59),"")</f>
        <v/>
      </c>
      <c r="AJ44" s="56" t="str">
        <f>IF(AND('Mapa final'!$AA$60="Baja",'Mapa final'!$AC$60="Catastrófico"),CONCATENATE("R9C",'Mapa final'!$Q$60),"")</f>
        <v/>
      </c>
      <c r="AK44" s="56" t="str">
        <f>IF(AND('Mapa final'!$AA$61="Baja",'Mapa final'!$AC$61="Catastrófico"),CONCATENATE("R9C",'Mapa final'!$Q$61),"")</f>
        <v/>
      </c>
      <c r="AL44" s="56" t="str">
        <f>IF(AND('Mapa final'!$AA$62="Baja",'Mapa final'!$AC$62="Catastrófico"),CONCATENATE("R9C",'Mapa final'!$Q$62),"")</f>
        <v/>
      </c>
      <c r="AM44" s="57" t="str">
        <f>IF(AND('Mapa final'!$AA$63="Baja",'Mapa final'!$AC$63="Catastrófico"),CONCATENATE("R9C",'Mapa final'!$Q$63),"")</f>
        <v/>
      </c>
      <c r="AN44" s="83"/>
      <c r="AO44" s="362"/>
      <c r="AP44" s="363"/>
      <c r="AQ44" s="363"/>
      <c r="AR44" s="363"/>
      <c r="AS44" s="363"/>
      <c r="AT44" s="36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43"/>
      <c r="C45" s="243"/>
      <c r="D45" s="244"/>
      <c r="E45" s="343"/>
      <c r="F45" s="344"/>
      <c r="G45" s="344"/>
      <c r="H45" s="344"/>
      <c r="I45" s="344"/>
      <c r="J45" s="79" t="str">
        <f>IF(AND('Mapa final'!$AA$64="Baja",'Mapa final'!$AC$64="Leve"),CONCATENATE("R10C",'Mapa final'!$Q$64),"")</f>
        <v/>
      </c>
      <c r="K45" s="80" t="str">
        <f>IF(AND('Mapa final'!$AA$65="Baja",'Mapa final'!$AC$65="Leve"),CONCATENATE("R10C",'Mapa final'!$Q$65),"")</f>
        <v/>
      </c>
      <c r="L45" s="80" t="str">
        <f>IF(AND('Mapa final'!$AA$66="Baja",'Mapa final'!$AC$66="Leve"),CONCATENATE("R10C",'Mapa final'!$Q$66),"")</f>
        <v/>
      </c>
      <c r="M45" s="80" t="str">
        <f>IF(AND('Mapa final'!$AA$67="Baja",'Mapa final'!$AC$67="Leve"),CONCATENATE("R10C",'Mapa final'!$Q$67),"")</f>
        <v/>
      </c>
      <c r="N45" s="80" t="str">
        <f>IF(AND('Mapa final'!$AA$68="Baja",'Mapa final'!$AC$68="Leve"),CONCATENATE("R10C",'Mapa final'!$Q$68),"")</f>
        <v/>
      </c>
      <c r="O45" s="81" t="str">
        <f>IF(AND('Mapa final'!$AA$69="Baja",'Mapa final'!$AC$69="Leve"),CONCATENATE("R10C",'Mapa final'!$Q$69),"")</f>
        <v/>
      </c>
      <c r="P45" s="67" t="str">
        <f>IF(AND('Mapa final'!$AA$64="Baja",'Mapa final'!$AC$64="Menor"),CONCATENATE("R10C",'Mapa final'!$Q$64),"")</f>
        <v/>
      </c>
      <c r="Q45" s="68" t="str">
        <f>IF(AND('Mapa final'!$AA$65="Baja",'Mapa final'!$AC$65="Menor"),CONCATENATE("R10C",'Mapa final'!$Q$65),"")</f>
        <v/>
      </c>
      <c r="R45" s="68" t="str">
        <f>IF(AND('Mapa final'!$AA$66="Baja",'Mapa final'!$AC$66="Menor"),CONCATENATE("R10C",'Mapa final'!$Q$66),"")</f>
        <v/>
      </c>
      <c r="S45" s="68" t="str">
        <f>IF(AND('Mapa final'!$AA$67="Baja",'Mapa final'!$AC$67="Menor"),CONCATENATE("R10C",'Mapa final'!$Q$67),"")</f>
        <v/>
      </c>
      <c r="T45" s="68" t="str">
        <f>IF(AND('Mapa final'!$AA$68="Baja",'Mapa final'!$AC$68="Menor"),CONCATENATE("R10C",'Mapa final'!$Q$68),"")</f>
        <v/>
      </c>
      <c r="U45" s="69" t="str">
        <f>IF(AND('Mapa final'!$AA$69="Baja",'Mapa final'!$AC$69="Menor"),CONCATENATE("R10C",'Mapa final'!$Q$69),"")</f>
        <v/>
      </c>
      <c r="V45" s="70" t="str">
        <f>IF(AND('Mapa final'!$AA$64="Baja",'Mapa final'!$AC$64="Moderado"),CONCATENATE("R10C",'Mapa final'!$Q$64),"")</f>
        <v/>
      </c>
      <c r="W45" s="71" t="str">
        <f>IF(AND('Mapa final'!$AA$65="Baja",'Mapa final'!$AC$65="Moderado"),CONCATENATE("R10C",'Mapa final'!$Q$65),"")</f>
        <v/>
      </c>
      <c r="X45" s="71" t="str">
        <f>IF(AND('Mapa final'!$AA$66="Baja",'Mapa final'!$AC$66="Moderado"),CONCATENATE("R10C",'Mapa final'!$Q$66),"")</f>
        <v/>
      </c>
      <c r="Y45" s="71" t="str">
        <f>IF(AND('Mapa final'!$AA$67="Baja",'Mapa final'!$AC$67="Moderado"),CONCATENATE("R10C",'Mapa final'!$Q$67),"")</f>
        <v/>
      </c>
      <c r="Z45" s="71" t="str">
        <f>IF(AND('Mapa final'!$AA$68="Baja",'Mapa final'!$AC$68="Moderado"),CONCATENATE("R10C",'Mapa final'!$Q$68),"")</f>
        <v/>
      </c>
      <c r="AA45" s="72" t="str">
        <f>IF(AND('Mapa final'!$AA$69="Baja",'Mapa final'!$AC$69="Moderado"),CONCATENATE("R10C",'Mapa final'!$Q$69),"")</f>
        <v/>
      </c>
      <c r="AB45" s="58" t="str">
        <f>IF(AND('Mapa final'!$AA$64="Baja",'Mapa final'!$AC$64="Mayor"),CONCATENATE("R10C",'Mapa final'!$Q$64),"")</f>
        <v/>
      </c>
      <c r="AC45" s="59" t="str">
        <f>IF(AND('Mapa final'!$AA$65="Baja",'Mapa final'!$AC$65="Mayor"),CONCATENATE("R10C",'Mapa final'!$Q$65),"")</f>
        <v/>
      </c>
      <c r="AD45" s="59" t="str">
        <f>IF(AND('Mapa final'!$AA$66="Baja",'Mapa final'!$AC$66="Mayor"),CONCATENATE("R10C",'Mapa final'!$Q$66),"")</f>
        <v/>
      </c>
      <c r="AE45" s="59" t="str">
        <f>IF(AND('Mapa final'!$AA$67="Baja",'Mapa final'!$AC$67="Mayor"),CONCATENATE("R10C",'Mapa final'!$Q$67),"")</f>
        <v/>
      </c>
      <c r="AF45" s="59" t="str">
        <f>IF(AND('Mapa final'!$AA$68="Baja",'Mapa final'!$AC$68="Mayor"),CONCATENATE("R10C",'Mapa final'!$Q$68),"")</f>
        <v/>
      </c>
      <c r="AG45" s="60" t="str">
        <f>IF(AND('Mapa final'!$AA$69="Baja",'Mapa final'!$AC$69="Mayor"),CONCATENATE("R10C",'Mapa final'!$Q$69),"")</f>
        <v/>
      </c>
      <c r="AH45" s="61" t="str">
        <f>IF(AND('Mapa final'!$AA$64="Baja",'Mapa final'!$AC$64="Catastrófico"),CONCATENATE("R10C",'Mapa final'!$Q$64),"")</f>
        <v/>
      </c>
      <c r="AI45" s="62" t="str">
        <f>IF(AND('Mapa final'!$AA$65="Baja",'Mapa final'!$AC$65="Catastrófico"),CONCATENATE("R10C",'Mapa final'!$Q$65),"")</f>
        <v/>
      </c>
      <c r="AJ45" s="62" t="str">
        <f>IF(AND('Mapa final'!$AA$66="Baja",'Mapa final'!$AC$66="Catastrófico"),CONCATENATE("R10C",'Mapa final'!$Q$66),"")</f>
        <v/>
      </c>
      <c r="AK45" s="62" t="str">
        <f>IF(AND('Mapa final'!$AA$67="Baja",'Mapa final'!$AC$67="Catastrófico"),CONCATENATE("R10C",'Mapa final'!$Q$67),"")</f>
        <v/>
      </c>
      <c r="AL45" s="62" t="str">
        <f>IF(AND('Mapa final'!$AA$68="Baja",'Mapa final'!$AC$68="Catastrófico"),CONCATENATE("R10C",'Mapa final'!$Q$68),"")</f>
        <v/>
      </c>
      <c r="AM45" s="63" t="str">
        <f>IF(AND('Mapa final'!$AA$69="Baja",'Mapa final'!$AC$69="Catastrófico"),CONCATENATE("R10C",'Mapa final'!$Q$69),"")</f>
        <v/>
      </c>
      <c r="AN45" s="83"/>
      <c r="AO45" s="365"/>
      <c r="AP45" s="366"/>
      <c r="AQ45" s="366"/>
      <c r="AR45" s="366"/>
      <c r="AS45" s="366"/>
      <c r="AT45" s="367"/>
    </row>
    <row r="46" spans="1:80" ht="46.5" customHeight="1" x14ac:dyDescent="0.35">
      <c r="A46" s="83"/>
      <c r="B46" s="243"/>
      <c r="C46" s="243"/>
      <c r="D46" s="244"/>
      <c r="E46" s="338" t="s">
        <v>113</v>
      </c>
      <c r="F46" s="339"/>
      <c r="G46" s="339"/>
      <c r="H46" s="339"/>
      <c r="I46" s="356"/>
      <c r="J46" s="73" t="str">
        <f>IF(AND('Mapa final'!$AA$10="Muy Baja",'Mapa final'!$AC$10="Leve"),CONCATENATE("R1C",'Mapa final'!$Q$10),"")</f>
        <v/>
      </c>
      <c r="K46" s="74" t="str">
        <f>IF(AND('Mapa final'!$AA$11="Muy Baja",'Mapa final'!$AC$11="Leve"),CONCATENATE("R1C",'Mapa final'!$Q$11),"")</f>
        <v/>
      </c>
      <c r="L46" s="74" t="str">
        <f>IF(AND('Mapa final'!$AA$12="Muy Baja",'Mapa final'!$AC$12="Leve"),CONCATENATE("R1C",'Mapa final'!$Q$12),"")</f>
        <v/>
      </c>
      <c r="M46" s="74" t="str">
        <f>IF(AND('Mapa final'!$AA$13="Muy Baja",'Mapa final'!$AC$13="Leve"),CONCATENATE("R1C",'Mapa final'!$Q$13),"")</f>
        <v/>
      </c>
      <c r="N46" s="74" t="str">
        <f>IF(AND('Mapa final'!$AA$14="Muy Baja",'Mapa final'!$AC$14="Leve"),CONCATENATE("R1C",'Mapa final'!$Q$14),"")</f>
        <v/>
      </c>
      <c r="O46" s="75" t="str">
        <f>IF(AND('Mapa final'!$AA$15="Muy Baja",'Mapa final'!$AC$15="Leve"),CONCATENATE("R1C",'Mapa final'!$Q$15),"")</f>
        <v/>
      </c>
      <c r="P46" s="73" t="str">
        <f>IF(AND('Mapa final'!$AA$10="Muy Baja",'Mapa final'!$AC$10="Menor"),CONCATENATE("R1C",'Mapa final'!$Q$10),"")</f>
        <v/>
      </c>
      <c r="Q46" s="74" t="str">
        <f>IF(AND('Mapa final'!$AA$11="Muy Baja",'Mapa final'!$AC$11="Menor"),CONCATENATE("R1C",'Mapa final'!$Q$11),"")</f>
        <v>R1C2</v>
      </c>
      <c r="R46" s="74" t="str">
        <f>IF(AND('Mapa final'!$AA$12="Muy Baja",'Mapa final'!$AC$12="Menor"),CONCATENATE("R1C",'Mapa final'!$Q$12),"")</f>
        <v/>
      </c>
      <c r="S46" s="74" t="str">
        <f>IF(AND('Mapa final'!$AA$13="Muy Baja",'Mapa final'!$AC$13="Menor"),CONCATENATE("R1C",'Mapa final'!$Q$13),"")</f>
        <v/>
      </c>
      <c r="T46" s="74" t="str">
        <f>IF(AND('Mapa final'!$AA$14="Muy Baja",'Mapa final'!$AC$14="Menor"),CONCATENATE("R1C",'Mapa final'!$Q$14),"")</f>
        <v/>
      </c>
      <c r="U46" s="75" t="str">
        <f>IF(AND('Mapa final'!$AA$15="Muy Baja",'Mapa final'!$AC$15="Menor"),CONCATENATE("R1C",'Mapa final'!$Q$15),"")</f>
        <v/>
      </c>
      <c r="V46" s="64" t="str">
        <f>IF(AND('Mapa final'!$AA$10="Muy Baja",'Mapa final'!$AC$10="Moderado"),CONCATENATE("R1C",'Mapa final'!$Q$10),"")</f>
        <v/>
      </c>
      <c r="W46" s="82" t="str">
        <f>IF(AND('Mapa final'!$AA$11="Muy Baja",'Mapa final'!$AC$11="Moderado"),CONCATENATE("R1C",'Mapa final'!$Q$11),"")</f>
        <v/>
      </c>
      <c r="X46" s="65" t="str">
        <f>IF(AND('Mapa final'!$AA$12="Muy Baja",'Mapa final'!$AC$12="Moderado"),CONCATENATE("R1C",'Mapa final'!$Q$12),"")</f>
        <v/>
      </c>
      <c r="Y46" s="65" t="str">
        <f>IF(AND('Mapa final'!$AA$13="Muy Baja",'Mapa final'!$AC$13="Moderado"),CONCATENATE("R1C",'Mapa final'!$Q$13),"")</f>
        <v/>
      </c>
      <c r="Z46" s="65" t="str">
        <f>IF(AND('Mapa final'!$AA$14="Muy Baja",'Mapa final'!$AC$14="Moderado"),CONCATENATE("R1C",'Mapa final'!$Q$14),"")</f>
        <v/>
      </c>
      <c r="AA46" s="66" t="str">
        <f>IF(AND('Mapa final'!$AA$15="Muy Baja",'Mapa final'!$AC$15="Moderado"),CONCATENATE("R1C",'Mapa final'!$Q$15),"")</f>
        <v/>
      </c>
      <c r="AB46" s="46" t="str">
        <f>IF(AND('Mapa final'!$AA$10="Muy Baja",'Mapa final'!$AC$10="Mayor"),CONCATENATE("R1C",'Mapa final'!$Q$10),"")</f>
        <v/>
      </c>
      <c r="AC46" s="47" t="str">
        <f>IF(AND('Mapa final'!$AA$11="Muy Baja",'Mapa final'!$AC$11="Mayor"),CONCATENATE("R1C",'Mapa final'!$Q$11),"")</f>
        <v/>
      </c>
      <c r="AD46" s="47" t="str">
        <f>IF(AND('Mapa final'!$AA$12="Muy Baja",'Mapa final'!$AC$12="Mayor"),CONCATENATE("R1C",'Mapa final'!$Q$12),"")</f>
        <v/>
      </c>
      <c r="AE46" s="47" t="str">
        <f>IF(AND('Mapa final'!$AA$13="Muy Baja",'Mapa final'!$AC$13="Mayor"),CONCATENATE("R1C",'Mapa final'!$Q$13),"")</f>
        <v/>
      </c>
      <c r="AF46" s="47" t="str">
        <f>IF(AND('Mapa final'!$AA$14="Muy Baja",'Mapa final'!$AC$14="Mayor"),CONCATENATE("R1C",'Mapa final'!$Q$14),"")</f>
        <v/>
      </c>
      <c r="AG46" s="48" t="str">
        <f>IF(AND('Mapa final'!$AA$15="Muy Baja",'Mapa final'!$AC$15="Mayor"),CONCATENATE("R1C",'Mapa final'!$Q$15),"")</f>
        <v/>
      </c>
      <c r="AH46" s="49" t="str">
        <f>IF(AND('Mapa final'!$AA$10="Muy Baja",'Mapa final'!$AC$10="Catastrófico"),CONCATENATE("R1C",'Mapa final'!$Q$10),"")</f>
        <v/>
      </c>
      <c r="AI46" s="50" t="str">
        <f>IF(AND('Mapa final'!$AA$11="Muy Baja",'Mapa final'!$AC$11="Catastrófico"),CONCATENATE("R1C",'Mapa final'!$Q$11),"")</f>
        <v/>
      </c>
      <c r="AJ46" s="50" t="str">
        <f>IF(AND('Mapa final'!$AA$12="Muy Baja",'Mapa final'!$AC$12="Catastrófico"),CONCATENATE("R1C",'Mapa final'!$Q$12),"")</f>
        <v/>
      </c>
      <c r="AK46" s="50" t="str">
        <f>IF(AND('Mapa final'!$AA$13="Muy Baja",'Mapa final'!$AC$13="Catastrófico"),CONCATENATE("R1C",'Mapa final'!$Q$13),"")</f>
        <v/>
      </c>
      <c r="AL46" s="50" t="str">
        <f>IF(AND('Mapa final'!$AA$14="Muy Baja",'Mapa final'!$AC$14="Catastrófico"),CONCATENATE("R1C",'Mapa final'!$Q$14),"")</f>
        <v/>
      </c>
      <c r="AM46" s="51" t="str">
        <f>IF(AND('Mapa final'!$AA$15="Muy Baja",'Mapa final'!$AC$15="Catastrófico"),CONCATENATE("R1C",'Mapa final'!$Q$15),"")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43"/>
      <c r="C47" s="243"/>
      <c r="D47" s="244"/>
      <c r="E47" s="340"/>
      <c r="F47" s="341"/>
      <c r="G47" s="341"/>
      <c r="H47" s="341"/>
      <c r="I47" s="357"/>
      <c r="J47" s="76" t="str">
        <f>IF(AND('Mapa final'!$AA$16="Muy Baja",'Mapa final'!$AC$16="Leve"),CONCATENATE("R2C",'Mapa final'!$Q$16),"")</f>
        <v/>
      </c>
      <c r="K47" s="77" t="str">
        <f>IF(AND('Mapa final'!$AA$17="Muy Baja",'Mapa final'!$AC$17="Leve"),CONCATENATE("R2C",'Mapa final'!$Q$17),"")</f>
        <v/>
      </c>
      <c r="L47" s="77" t="str">
        <f>IF(AND('Mapa final'!$AA$18="Muy Baja",'Mapa final'!$AC$18="Leve"),CONCATENATE("R2C",'Mapa final'!$Q$18),"")</f>
        <v/>
      </c>
      <c r="M47" s="77" t="str">
        <f>IF(AND('Mapa final'!$AA$19="Muy Baja",'Mapa final'!$AC$19="Leve"),CONCATENATE("R2C",'Mapa final'!$Q$19),"")</f>
        <v/>
      </c>
      <c r="N47" s="77" t="str">
        <f>IF(AND('Mapa final'!$AA$20="Muy Baja",'Mapa final'!$AC$20="Leve"),CONCATENATE("R2C",'Mapa final'!$Q$20),"")</f>
        <v/>
      </c>
      <c r="O47" s="78" t="str">
        <f>IF(AND('Mapa final'!$AA$21="Muy Baja",'Mapa final'!$AC$21="Leve"),CONCATENATE("R2C",'Mapa final'!$Q$21),"")</f>
        <v/>
      </c>
      <c r="P47" s="76" t="str">
        <f>IF(AND('Mapa final'!$AA$16="Muy Baja",'Mapa final'!$AC$16="Menor"),CONCATENATE("R2C",'Mapa final'!$Q$16),"")</f>
        <v/>
      </c>
      <c r="Q47" s="77" t="str">
        <f>IF(AND('Mapa final'!$AA$17="Muy Baja",'Mapa final'!$AC$17="Menor"),CONCATENATE("R2C",'Mapa final'!$Q$17),"")</f>
        <v/>
      </c>
      <c r="R47" s="77" t="str">
        <f>IF(AND('Mapa final'!$AA$18="Muy Baja",'Mapa final'!$AC$18="Menor"),CONCATENATE("R2C",'Mapa final'!$Q$18),"")</f>
        <v/>
      </c>
      <c r="S47" s="77" t="str">
        <f>IF(AND('Mapa final'!$AA$19="Muy Baja",'Mapa final'!$AC$19="Menor"),CONCATENATE("R2C",'Mapa final'!$Q$19),"")</f>
        <v/>
      </c>
      <c r="T47" s="77" t="str">
        <f>IF(AND('Mapa final'!$AA$20="Muy Baja",'Mapa final'!$AC$20="Menor"),CONCATENATE("R2C",'Mapa final'!$Q$20),"")</f>
        <v/>
      </c>
      <c r="U47" s="78" t="str">
        <f>IF(AND('Mapa final'!$AA$21="Muy Baja",'Mapa final'!$AC$21="Menor"),CONCATENATE("R2C",'Mapa final'!$Q$21),"")</f>
        <v/>
      </c>
      <c r="V47" s="67" t="str">
        <f>IF(AND('Mapa final'!$AA$16="Muy Baja",'Mapa final'!$AC$16="Moderado"),CONCATENATE("R2C",'Mapa final'!$Q$16),"")</f>
        <v/>
      </c>
      <c r="W47" s="68" t="str">
        <f>IF(AND('Mapa final'!$AA$17="Muy Baja",'Mapa final'!$AC$17="Moderado"),CONCATENATE("R2C",'Mapa final'!$Q$17),"")</f>
        <v/>
      </c>
      <c r="X47" s="68" t="str">
        <f>IF(AND('Mapa final'!$AA$18="Muy Baja",'Mapa final'!$AC$18="Moderado"),CONCATENATE("R2C",'Mapa final'!$Q$18),"")</f>
        <v/>
      </c>
      <c r="Y47" s="68" t="str">
        <f>IF(AND('Mapa final'!$AA$19="Muy Baja",'Mapa final'!$AC$19="Moderado"),CONCATENATE("R2C",'Mapa final'!$Q$19),"")</f>
        <v/>
      </c>
      <c r="Z47" s="68" t="str">
        <f>IF(AND('Mapa final'!$AA$20="Muy Baja",'Mapa final'!$AC$20="Moderado"),CONCATENATE("R2C",'Mapa final'!$Q$20),"")</f>
        <v/>
      </c>
      <c r="AA47" s="69" t="str">
        <f>IF(AND('Mapa final'!$AA$21="Muy Baja",'Mapa final'!$AC$21="Moderado"),CONCATENATE("R2C",'Mapa final'!$Q$21),"")</f>
        <v/>
      </c>
      <c r="AB47" s="52" t="str">
        <f>IF(AND('Mapa final'!$AA$16="Muy Baja",'Mapa final'!$AC$16="Mayor"),CONCATENATE("R2C",'Mapa final'!$Q$16),"")</f>
        <v/>
      </c>
      <c r="AC47" s="53" t="str">
        <f>IF(AND('Mapa final'!$AA$17="Muy Baja",'Mapa final'!$AC$17="Mayor"),CONCATENATE("R2C",'Mapa final'!$Q$17),"")</f>
        <v/>
      </c>
      <c r="AD47" s="53" t="str">
        <f>IF(AND('Mapa final'!$AA$18="Muy Baja",'Mapa final'!$AC$18="Mayor"),CONCATENATE("R2C",'Mapa final'!$Q$18),"")</f>
        <v/>
      </c>
      <c r="AE47" s="53" t="str">
        <f>IF(AND('Mapa final'!$AA$19="Muy Baja",'Mapa final'!$AC$19="Mayor"),CONCATENATE("R2C",'Mapa final'!$Q$19),"")</f>
        <v/>
      </c>
      <c r="AF47" s="53" t="str">
        <f>IF(AND('Mapa final'!$AA$20="Muy Baja",'Mapa final'!$AC$20="Mayor"),CONCATENATE("R2C",'Mapa final'!$Q$20),"")</f>
        <v/>
      </c>
      <c r="AG47" s="54" t="str">
        <f>IF(AND('Mapa final'!$AA$21="Muy Baja",'Mapa final'!$AC$21="Mayor"),CONCATENATE("R2C",'Mapa final'!$Q$21),"")</f>
        <v/>
      </c>
      <c r="AH47" s="55" t="str">
        <f>IF(AND('Mapa final'!$AA$16="Muy Baja",'Mapa final'!$AC$16="Catastrófico"),CONCATENATE("R2C",'Mapa final'!$Q$16),"")</f>
        <v/>
      </c>
      <c r="AI47" s="56" t="str">
        <f>IF(AND('Mapa final'!$AA$17="Muy Baja",'Mapa final'!$AC$17="Catastrófico"),CONCATENATE("R2C",'Mapa final'!$Q$17),"")</f>
        <v/>
      </c>
      <c r="AJ47" s="56" t="str">
        <f>IF(AND('Mapa final'!$AA$18="Muy Baja",'Mapa final'!$AC$18="Catastrófico"),CONCATENATE("R2C",'Mapa final'!$Q$18),"")</f>
        <v/>
      </c>
      <c r="AK47" s="56" t="str">
        <f>IF(AND('Mapa final'!$AA$19="Muy Baja",'Mapa final'!$AC$19="Catastrófico"),CONCATENATE("R2C",'Mapa final'!$Q$19),"")</f>
        <v/>
      </c>
      <c r="AL47" s="56" t="str">
        <f>IF(AND('Mapa final'!$AA$20="Muy Baja",'Mapa final'!$AC$20="Catastrófico"),CONCATENATE("R2C",'Mapa final'!$Q$20),"")</f>
        <v/>
      </c>
      <c r="AM47" s="57" t="str">
        <f>IF(AND('Mapa final'!$AA$21="Muy Baja",'Mapa final'!$AC$21="Catastrófico"),CONCATENATE("R2C",'Mapa final'!$Q$21),"")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43"/>
      <c r="C48" s="243"/>
      <c r="D48" s="244"/>
      <c r="E48" s="340"/>
      <c r="F48" s="341"/>
      <c r="G48" s="341"/>
      <c r="H48" s="341"/>
      <c r="I48" s="357"/>
      <c r="J48" s="76" t="str">
        <f>IF(AND('Mapa final'!$AA$22="Muy Baja",'Mapa final'!$AC$22="Leve"),CONCATENATE("R3C",'Mapa final'!$Q$22),"")</f>
        <v/>
      </c>
      <c r="K48" s="77" t="str">
        <f>IF(AND('Mapa final'!$AA$23="Muy Baja",'Mapa final'!$AC$23="Leve"),CONCATENATE("R3C",'Mapa final'!$Q$23),"")</f>
        <v/>
      </c>
      <c r="L48" s="77" t="str">
        <f>IF(AND('Mapa final'!$AA$24="Muy Baja",'Mapa final'!$AC$24="Leve"),CONCATENATE("R3C",'Mapa final'!$Q$24),"")</f>
        <v/>
      </c>
      <c r="M48" s="77" t="str">
        <f>IF(AND('Mapa final'!$AA$25="Muy Baja",'Mapa final'!$AC$25="Leve"),CONCATENATE("R3C",'Mapa final'!$Q$25),"")</f>
        <v/>
      </c>
      <c r="N48" s="77" t="str">
        <f>IF(AND('Mapa final'!$AA$26="Muy Baja",'Mapa final'!$AC$26="Leve"),CONCATENATE("R3C",'Mapa final'!$Q$26),"")</f>
        <v/>
      </c>
      <c r="O48" s="78" t="str">
        <f>IF(AND('Mapa final'!$AA$27="Muy Baja",'Mapa final'!$AC$27="Leve"),CONCATENATE("R3C",'Mapa final'!$Q$27),"")</f>
        <v/>
      </c>
      <c r="P48" s="76" t="str">
        <f>IF(AND('Mapa final'!$AA$22="Muy Baja",'Mapa final'!$AC$22="Menor"),CONCATENATE("R3C",'Mapa final'!$Q$22),"")</f>
        <v/>
      </c>
      <c r="Q48" s="77" t="str">
        <f>IF(AND('Mapa final'!$AA$23="Muy Baja",'Mapa final'!$AC$23="Menor"),CONCATENATE("R3C",'Mapa final'!$Q$23),"")</f>
        <v/>
      </c>
      <c r="R48" s="77" t="str">
        <f>IF(AND('Mapa final'!$AA$24="Muy Baja",'Mapa final'!$AC$24="Menor"),CONCATENATE("R3C",'Mapa final'!$Q$24),"")</f>
        <v/>
      </c>
      <c r="S48" s="77" t="str">
        <f>IF(AND('Mapa final'!$AA$25="Muy Baja",'Mapa final'!$AC$25="Menor"),CONCATENATE("R3C",'Mapa final'!$Q$25),"")</f>
        <v/>
      </c>
      <c r="T48" s="77" t="str">
        <f>IF(AND('Mapa final'!$AA$26="Muy Baja",'Mapa final'!$AC$26="Menor"),CONCATENATE("R3C",'Mapa final'!$Q$26),"")</f>
        <v/>
      </c>
      <c r="U48" s="78" t="str">
        <f>IF(AND('Mapa final'!$AA$27="Muy Baja",'Mapa final'!$AC$27="Menor"),CONCATENATE("R3C",'Mapa final'!$Q$27),"")</f>
        <v/>
      </c>
      <c r="V48" s="67" t="str">
        <f>IF(AND('Mapa final'!$AA$22="Muy Baja",'Mapa final'!$AC$22="Moderado"),CONCATENATE("R3C",'Mapa final'!$Q$22),"")</f>
        <v/>
      </c>
      <c r="W48" s="68" t="str">
        <f>IF(AND('Mapa final'!$AA$23="Muy Baja",'Mapa final'!$AC$23="Moderado"),CONCATENATE("R3C",'Mapa final'!$Q$23),"")</f>
        <v/>
      </c>
      <c r="X48" s="68" t="str">
        <f>IF(AND('Mapa final'!$AA$24="Muy Baja",'Mapa final'!$AC$24="Moderado"),CONCATENATE("R3C",'Mapa final'!$Q$24),"")</f>
        <v/>
      </c>
      <c r="Y48" s="68" t="str">
        <f>IF(AND('Mapa final'!$AA$25="Muy Baja",'Mapa final'!$AC$25="Moderado"),CONCATENATE("R3C",'Mapa final'!$Q$25),"")</f>
        <v/>
      </c>
      <c r="Z48" s="68" t="str">
        <f>IF(AND('Mapa final'!$AA$26="Muy Baja",'Mapa final'!$AC$26="Moderado"),CONCATENATE("R3C",'Mapa final'!$Q$26),"")</f>
        <v/>
      </c>
      <c r="AA48" s="69" t="str">
        <f>IF(AND('Mapa final'!$AA$27="Muy Baja",'Mapa final'!$AC$27="Moderado"),CONCATENATE("R3C",'Mapa final'!$Q$27),"")</f>
        <v/>
      </c>
      <c r="AB48" s="52" t="str">
        <f>IF(AND('Mapa final'!$AA$22="Muy Baja",'Mapa final'!$AC$22="Mayor"),CONCATENATE("R3C",'Mapa final'!$Q$22),"")</f>
        <v/>
      </c>
      <c r="AC48" s="53" t="str">
        <f>IF(AND('Mapa final'!$AA$23="Muy Baja",'Mapa final'!$AC$23="Mayor"),CONCATENATE("R3C",'Mapa final'!$Q$23),"")</f>
        <v/>
      </c>
      <c r="AD48" s="53" t="str">
        <f>IF(AND('Mapa final'!$AA$24="Muy Baja",'Mapa final'!$AC$24="Mayor"),CONCATENATE("R3C",'Mapa final'!$Q$24),"")</f>
        <v/>
      </c>
      <c r="AE48" s="53" t="str">
        <f>IF(AND('Mapa final'!$AA$25="Muy Baja",'Mapa final'!$AC$25="Mayor"),CONCATENATE("R3C",'Mapa final'!$Q$25),"")</f>
        <v/>
      </c>
      <c r="AF48" s="53" t="str">
        <f>IF(AND('Mapa final'!$AA$26="Muy Baja",'Mapa final'!$AC$26="Mayor"),CONCATENATE("R3C",'Mapa final'!$Q$26),"")</f>
        <v/>
      </c>
      <c r="AG48" s="54" t="str">
        <f>IF(AND('Mapa final'!$AA$27="Muy Baja",'Mapa final'!$AC$27="Mayor"),CONCATENATE("R3C",'Mapa final'!$Q$27),"")</f>
        <v/>
      </c>
      <c r="AH48" s="55" t="str">
        <f>IF(AND('Mapa final'!$AA$22="Muy Baja",'Mapa final'!$AC$22="Catastrófico"),CONCATENATE("R3C",'Mapa final'!$Q$22),"")</f>
        <v/>
      </c>
      <c r="AI48" s="56" t="str">
        <f>IF(AND('Mapa final'!$AA$23="Muy Baja",'Mapa final'!$AC$23="Catastrófico"),CONCATENATE("R3C",'Mapa final'!$Q$23),"")</f>
        <v/>
      </c>
      <c r="AJ48" s="56" t="str">
        <f>IF(AND('Mapa final'!$AA$24="Muy Baja",'Mapa final'!$AC$24="Catastrófico"),CONCATENATE("R3C",'Mapa final'!$Q$24),"")</f>
        <v/>
      </c>
      <c r="AK48" s="56" t="str">
        <f>IF(AND('Mapa final'!$AA$25="Muy Baja",'Mapa final'!$AC$25="Catastrófico"),CONCATENATE("R3C",'Mapa final'!$Q$25),"")</f>
        <v/>
      </c>
      <c r="AL48" s="56" t="str">
        <f>IF(AND('Mapa final'!$AA$26="Muy Baja",'Mapa final'!$AC$26="Catastrófico"),CONCATENATE("R3C",'Mapa final'!$Q$26),"")</f>
        <v/>
      </c>
      <c r="AM48" s="57" t="str">
        <f>IF(AND('Mapa final'!$AA$27="Muy Baja",'Mapa final'!$AC$27="Catastrófico"),CONCATENATE("R3C",'Mapa final'!$Q$27),"")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43"/>
      <c r="C49" s="243"/>
      <c r="D49" s="244"/>
      <c r="E49" s="342"/>
      <c r="F49" s="341"/>
      <c r="G49" s="341"/>
      <c r="H49" s="341"/>
      <c r="I49" s="357"/>
      <c r="J49" s="76" t="str">
        <f>IF(AND('Mapa final'!$AA$28="Muy Baja",'Mapa final'!$AC$28="Leve"),CONCATENATE("R4C",'Mapa final'!$Q$28),"")</f>
        <v/>
      </c>
      <c r="K49" s="77" t="str">
        <f>IF(AND('Mapa final'!$AA$29="Muy Baja",'Mapa final'!$AC$29="Leve"),CONCATENATE("R4C",'Mapa final'!$Q$29),"")</f>
        <v/>
      </c>
      <c r="L49" s="77" t="str">
        <f>IF(AND('Mapa final'!$AA$30="Muy Baja",'Mapa final'!$AC$30="Leve"),CONCATENATE("R4C",'Mapa final'!$Q$30),"")</f>
        <v/>
      </c>
      <c r="M49" s="77" t="str">
        <f>IF(AND('Mapa final'!$AA$31="Muy Baja",'Mapa final'!$AC$31="Leve"),CONCATENATE("R4C",'Mapa final'!$Q$31),"")</f>
        <v/>
      </c>
      <c r="N49" s="77" t="str">
        <f>IF(AND('Mapa final'!$AA$32="Muy Baja",'Mapa final'!$AC$32="Leve"),CONCATENATE("R4C",'Mapa final'!$Q$32),"")</f>
        <v/>
      </c>
      <c r="O49" s="78" t="str">
        <f>IF(AND('Mapa final'!$AA$33="Muy Baja",'Mapa final'!$AC$33="Leve"),CONCATENATE("R4C",'Mapa final'!$Q$33),"")</f>
        <v/>
      </c>
      <c r="P49" s="76" t="str">
        <f>IF(AND('Mapa final'!$AA$28="Muy Baja",'Mapa final'!$AC$28="Menor"),CONCATENATE("R4C",'Mapa final'!$Q$28),"")</f>
        <v/>
      </c>
      <c r="Q49" s="77" t="str">
        <f>IF(AND('Mapa final'!$AA$29="Muy Baja",'Mapa final'!$AC$29="Menor"),CONCATENATE("R4C",'Mapa final'!$Q$29),"")</f>
        <v/>
      </c>
      <c r="R49" s="77" t="str">
        <f>IF(AND('Mapa final'!$AA$30="Muy Baja",'Mapa final'!$AC$30="Menor"),CONCATENATE("R4C",'Mapa final'!$Q$30),"")</f>
        <v/>
      </c>
      <c r="S49" s="77" t="str">
        <f>IF(AND('Mapa final'!$AA$31="Muy Baja",'Mapa final'!$AC$31="Menor"),CONCATENATE("R4C",'Mapa final'!$Q$31),"")</f>
        <v/>
      </c>
      <c r="T49" s="77" t="str">
        <f>IF(AND('Mapa final'!$AA$32="Muy Baja",'Mapa final'!$AC$32="Menor"),CONCATENATE("R4C",'Mapa final'!$Q$32),"")</f>
        <v/>
      </c>
      <c r="U49" s="78" t="str">
        <f>IF(AND('Mapa final'!$AA$33="Muy Baja",'Mapa final'!$AC$33="Menor"),CONCATENATE("R4C",'Mapa final'!$Q$33),"")</f>
        <v/>
      </c>
      <c r="V49" s="67" t="str">
        <f>IF(AND('Mapa final'!$AA$28="Muy Baja",'Mapa final'!$AC$28="Moderado"),CONCATENATE("R4C",'Mapa final'!$Q$28),"")</f>
        <v/>
      </c>
      <c r="W49" s="68" t="str">
        <f>IF(AND('Mapa final'!$AA$29="Muy Baja",'Mapa final'!$AC$29="Moderado"),CONCATENATE("R4C",'Mapa final'!$Q$29),"")</f>
        <v/>
      </c>
      <c r="X49" s="68" t="str">
        <f>IF(AND('Mapa final'!$AA$30="Muy Baja",'Mapa final'!$AC$30="Moderado"),CONCATENATE("R4C",'Mapa final'!$Q$30),"")</f>
        <v/>
      </c>
      <c r="Y49" s="68" t="str">
        <f>IF(AND('Mapa final'!$AA$31="Muy Baja",'Mapa final'!$AC$31="Moderado"),CONCATENATE("R4C",'Mapa final'!$Q$31),"")</f>
        <v/>
      </c>
      <c r="Z49" s="68" t="str">
        <f>IF(AND('Mapa final'!$AA$32="Muy Baja",'Mapa final'!$AC$32="Moderado"),CONCATENATE("R4C",'Mapa final'!$Q$32),"")</f>
        <v/>
      </c>
      <c r="AA49" s="69" t="str">
        <f>IF(AND('Mapa final'!$AA$33="Muy Baja",'Mapa final'!$AC$33="Moderado"),CONCATENATE("R4C",'Mapa final'!$Q$33),"")</f>
        <v/>
      </c>
      <c r="AB49" s="52" t="str">
        <f>IF(AND('Mapa final'!$AA$28="Muy Baja",'Mapa final'!$AC$28="Mayor"),CONCATENATE("R4C",'Mapa final'!$Q$28),"")</f>
        <v/>
      </c>
      <c r="AC49" s="53" t="str">
        <f>IF(AND('Mapa final'!$AA$29="Muy Baja",'Mapa final'!$AC$29="Mayor"),CONCATENATE("R4C",'Mapa final'!$Q$29),"")</f>
        <v/>
      </c>
      <c r="AD49" s="53" t="str">
        <f>IF(AND('Mapa final'!$AA$30="Muy Baja",'Mapa final'!$AC$30="Mayor"),CONCATENATE("R4C",'Mapa final'!$Q$30),"")</f>
        <v/>
      </c>
      <c r="AE49" s="53" t="str">
        <f>IF(AND('Mapa final'!$AA$31="Muy Baja",'Mapa final'!$AC$31="Mayor"),CONCATENATE("R4C",'Mapa final'!$Q$31),"")</f>
        <v/>
      </c>
      <c r="AF49" s="53" t="str">
        <f>IF(AND('Mapa final'!$AA$32="Muy Baja",'Mapa final'!$AC$32="Mayor"),CONCATENATE("R4C",'Mapa final'!$Q$32),"")</f>
        <v/>
      </c>
      <c r="AG49" s="54" t="str">
        <f>IF(AND('Mapa final'!$AA$33="Muy Baja",'Mapa final'!$AC$33="Mayor"),CONCATENATE("R4C",'Mapa final'!$Q$33),"")</f>
        <v/>
      </c>
      <c r="AH49" s="55" t="str">
        <f>IF(AND('Mapa final'!$AA$28="Muy Baja",'Mapa final'!$AC$28="Catastrófico"),CONCATENATE("R4C",'Mapa final'!$Q$28),"")</f>
        <v/>
      </c>
      <c r="AI49" s="56" t="str">
        <f>IF(AND('Mapa final'!$AA$29="Muy Baja",'Mapa final'!$AC$29="Catastrófico"),CONCATENATE("R4C",'Mapa final'!$Q$29),"")</f>
        <v/>
      </c>
      <c r="AJ49" s="56" t="str">
        <f>IF(AND('Mapa final'!$AA$30="Muy Baja",'Mapa final'!$AC$30="Catastrófico"),CONCATENATE("R4C",'Mapa final'!$Q$30),"")</f>
        <v/>
      </c>
      <c r="AK49" s="56" t="str">
        <f>IF(AND('Mapa final'!$AA$31="Muy Baja",'Mapa final'!$AC$31="Catastrófico"),CONCATENATE("R4C",'Mapa final'!$Q$31),"")</f>
        <v/>
      </c>
      <c r="AL49" s="56" t="str">
        <f>IF(AND('Mapa final'!$AA$32="Muy Baja",'Mapa final'!$AC$32="Catastrófico"),CONCATENATE("R4C",'Mapa final'!$Q$32),"")</f>
        <v/>
      </c>
      <c r="AM49" s="57" t="str">
        <f>IF(AND('Mapa final'!$AA$33="Muy Baja",'Mapa final'!$AC$33="Catastrófico"),CONCATENATE("R4C",'Mapa final'!$Q$33),"")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43"/>
      <c r="C50" s="243"/>
      <c r="D50" s="244"/>
      <c r="E50" s="342"/>
      <c r="F50" s="341"/>
      <c r="G50" s="341"/>
      <c r="H50" s="341"/>
      <c r="I50" s="357"/>
      <c r="J50" s="76" t="str">
        <f>IF(AND('Mapa final'!$AA$34="Muy Baja",'Mapa final'!$AC$34="Leve"),CONCATENATE("R5C",'Mapa final'!$Q$34),"")</f>
        <v/>
      </c>
      <c r="K50" s="77" t="str">
        <f>IF(AND('Mapa final'!$AA$35="Muy Baja",'Mapa final'!$AC$35="Leve"),CONCATENATE("R5C",'Mapa final'!$Q$35),"")</f>
        <v/>
      </c>
      <c r="L50" s="77" t="str">
        <f>IF(AND('Mapa final'!$AA$36="Muy Baja",'Mapa final'!$AC$36="Leve"),CONCATENATE("R5C",'Mapa final'!$Q$36),"")</f>
        <v/>
      </c>
      <c r="M50" s="77" t="str">
        <f>IF(AND('Mapa final'!$AA$37="Muy Baja",'Mapa final'!$AC$37="Leve"),CONCATENATE("R5C",'Mapa final'!$Q$37),"")</f>
        <v/>
      </c>
      <c r="N50" s="77" t="str">
        <f>IF(AND('Mapa final'!$AA$38="Muy Baja",'Mapa final'!$AC$38="Leve"),CONCATENATE("R5C",'Mapa final'!$Q$38),"")</f>
        <v/>
      </c>
      <c r="O50" s="78" t="str">
        <f>IF(AND('Mapa final'!$AA$39="Muy Baja",'Mapa final'!$AC$39="Leve"),CONCATENATE("R5C",'Mapa final'!$Q$39),"")</f>
        <v/>
      </c>
      <c r="P50" s="76" t="str">
        <f>IF(AND('Mapa final'!$AA$34="Muy Baja",'Mapa final'!$AC$34="Menor"),CONCATENATE("R5C",'Mapa final'!$Q$34),"")</f>
        <v/>
      </c>
      <c r="Q50" s="77" t="str">
        <f>IF(AND('Mapa final'!$AA$35="Muy Baja",'Mapa final'!$AC$35="Menor"),CONCATENATE("R5C",'Mapa final'!$Q$35),"")</f>
        <v/>
      </c>
      <c r="R50" s="77" t="str">
        <f>IF(AND('Mapa final'!$AA$36="Muy Baja",'Mapa final'!$AC$36="Menor"),CONCATENATE("R5C",'Mapa final'!$Q$36),"")</f>
        <v/>
      </c>
      <c r="S50" s="77" t="str">
        <f>IF(AND('Mapa final'!$AA$37="Muy Baja",'Mapa final'!$AC$37="Menor"),CONCATENATE("R5C",'Mapa final'!$Q$37),"")</f>
        <v/>
      </c>
      <c r="T50" s="77" t="str">
        <f>IF(AND('Mapa final'!$AA$38="Muy Baja",'Mapa final'!$AC$38="Menor"),CONCATENATE("R5C",'Mapa final'!$Q$38),"")</f>
        <v/>
      </c>
      <c r="U50" s="78" t="str">
        <f>IF(AND('Mapa final'!$AA$39="Muy Baja",'Mapa final'!$AC$39="Menor"),CONCATENATE("R5C",'Mapa final'!$Q$39),"")</f>
        <v/>
      </c>
      <c r="V50" s="67" t="str">
        <f>IF(AND('Mapa final'!$AA$34="Muy Baja",'Mapa final'!$AC$34="Moderado"),CONCATENATE("R5C",'Mapa final'!$Q$34),"")</f>
        <v/>
      </c>
      <c r="W50" s="68" t="str">
        <f>IF(AND('Mapa final'!$AA$35="Muy Baja",'Mapa final'!$AC$35="Moderado"),CONCATENATE("R5C",'Mapa final'!$Q$35),"")</f>
        <v/>
      </c>
      <c r="X50" s="68" t="str">
        <f>IF(AND('Mapa final'!$AA$36="Muy Baja",'Mapa final'!$AC$36="Moderado"),CONCATENATE("R5C",'Mapa final'!$Q$36),"")</f>
        <v/>
      </c>
      <c r="Y50" s="68" t="str">
        <f>IF(AND('Mapa final'!$AA$37="Muy Baja",'Mapa final'!$AC$37="Moderado"),CONCATENATE("R5C",'Mapa final'!$Q$37),"")</f>
        <v/>
      </c>
      <c r="Z50" s="68" t="str">
        <f>IF(AND('Mapa final'!$AA$38="Muy Baja",'Mapa final'!$AC$38="Moderado"),CONCATENATE("R5C",'Mapa final'!$Q$38),"")</f>
        <v/>
      </c>
      <c r="AA50" s="69" t="str">
        <f>IF(AND('Mapa final'!$AA$39="Muy Baja",'Mapa final'!$AC$39="Moderado"),CONCATENATE("R5C",'Mapa final'!$Q$39),"")</f>
        <v/>
      </c>
      <c r="AB50" s="52" t="str">
        <f>IF(AND('Mapa final'!$AA$34="Muy Baja",'Mapa final'!$AC$34="Mayor"),CONCATENATE("R5C",'Mapa final'!$Q$34),"")</f>
        <v/>
      </c>
      <c r="AC50" s="53" t="str">
        <f>IF(AND('Mapa final'!$AA$35="Muy Baja",'Mapa final'!$AC$35="Mayor"),CONCATENATE("R5C",'Mapa final'!$Q$35),"")</f>
        <v/>
      </c>
      <c r="AD50" s="53" t="str">
        <f>IF(AND('Mapa final'!$AA$36="Muy Baja",'Mapa final'!$AC$36="Mayor"),CONCATENATE("R5C",'Mapa final'!$Q$36),"")</f>
        <v/>
      </c>
      <c r="AE50" s="53" t="str">
        <f>IF(AND('Mapa final'!$AA$37="Muy Baja",'Mapa final'!$AC$37="Mayor"),CONCATENATE("R5C",'Mapa final'!$Q$37),"")</f>
        <v/>
      </c>
      <c r="AF50" s="53" t="str">
        <f>IF(AND('Mapa final'!$AA$38="Muy Baja",'Mapa final'!$AC$38="Mayor"),CONCATENATE("R5C",'Mapa final'!$Q$38),"")</f>
        <v/>
      </c>
      <c r="AG50" s="54" t="str">
        <f>IF(AND('Mapa final'!$AA$39="Muy Baja",'Mapa final'!$AC$39="Mayor"),CONCATENATE("R5C",'Mapa final'!$Q$39),"")</f>
        <v/>
      </c>
      <c r="AH50" s="55" t="str">
        <f>IF(AND('Mapa final'!$AA$34="Muy Baja",'Mapa final'!$AC$34="Catastrófico"),CONCATENATE("R5C",'Mapa final'!$Q$34),"")</f>
        <v/>
      </c>
      <c r="AI50" s="56" t="str">
        <f>IF(AND('Mapa final'!$AA$35="Muy Baja",'Mapa final'!$AC$35="Catastrófico"),CONCATENATE("R5C",'Mapa final'!$Q$35),"")</f>
        <v/>
      </c>
      <c r="AJ50" s="56" t="str">
        <f>IF(AND('Mapa final'!$AA$36="Muy Baja",'Mapa final'!$AC$36="Catastrófico"),CONCATENATE("R5C",'Mapa final'!$Q$36),"")</f>
        <v/>
      </c>
      <c r="AK50" s="56" t="str">
        <f>IF(AND('Mapa final'!$AA$37="Muy Baja",'Mapa final'!$AC$37="Catastrófico"),CONCATENATE("R5C",'Mapa final'!$Q$37),"")</f>
        <v/>
      </c>
      <c r="AL50" s="56" t="str">
        <f>IF(AND('Mapa final'!$AA$38="Muy Baja",'Mapa final'!$AC$38="Catastrófico"),CONCATENATE("R5C",'Mapa final'!$Q$38),"")</f>
        <v/>
      </c>
      <c r="AM50" s="57" t="str">
        <f>IF(AND('Mapa final'!$AA$39="Muy Baja",'Mapa final'!$AC$39="Catastrófico"),CONCATENATE("R5C",'Mapa final'!$Q$39),"")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43"/>
      <c r="C51" s="243"/>
      <c r="D51" s="244"/>
      <c r="E51" s="342"/>
      <c r="F51" s="341"/>
      <c r="G51" s="341"/>
      <c r="H51" s="341"/>
      <c r="I51" s="357"/>
      <c r="J51" s="76" t="str">
        <f>IF(AND('Mapa final'!$AA$40="Muy Baja",'Mapa final'!$AC$40="Leve"),CONCATENATE("R6C",'Mapa final'!$Q$40),"")</f>
        <v/>
      </c>
      <c r="K51" s="77" t="str">
        <f>IF(AND('Mapa final'!$AA$41="Muy Baja",'Mapa final'!$AC$41="Leve"),CONCATENATE("R6C",'Mapa final'!$Q$41),"")</f>
        <v/>
      </c>
      <c r="L51" s="77" t="str">
        <f>IF(AND('Mapa final'!$AA$42="Muy Baja",'Mapa final'!$AC$42="Leve"),CONCATENATE("R6C",'Mapa final'!$Q$42),"")</f>
        <v/>
      </c>
      <c r="M51" s="77" t="str">
        <f>IF(AND('Mapa final'!$AA$43="Muy Baja",'Mapa final'!$AC$43="Leve"),CONCATENATE("R6C",'Mapa final'!$Q$43),"")</f>
        <v/>
      </c>
      <c r="N51" s="77" t="str">
        <f>IF(AND('Mapa final'!$AA$44="Muy Baja",'Mapa final'!$AC$44="Leve"),CONCATENATE("R6C",'Mapa final'!$Q$44),"")</f>
        <v/>
      </c>
      <c r="O51" s="78" t="str">
        <f>IF(AND('Mapa final'!$AA$45="Muy Baja",'Mapa final'!$AC$45="Leve"),CONCATENATE("R6C",'Mapa final'!$Q$45),"")</f>
        <v/>
      </c>
      <c r="P51" s="76" t="str">
        <f>IF(AND('Mapa final'!$AA$40="Muy Baja",'Mapa final'!$AC$40="Menor"),CONCATENATE("R6C",'Mapa final'!$Q$40),"")</f>
        <v/>
      </c>
      <c r="Q51" s="77" t="str">
        <f>IF(AND('Mapa final'!$AA$41="Muy Baja",'Mapa final'!$AC$41="Menor"),CONCATENATE("R6C",'Mapa final'!$Q$41),"")</f>
        <v/>
      </c>
      <c r="R51" s="77" t="str">
        <f>IF(AND('Mapa final'!$AA$42="Muy Baja",'Mapa final'!$AC$42="Menor"),CONCATENATE("R6C",'Mapa final'!$Q$42),"")</f>
        <v/>
      </c>
      <c r="S51" s="77" t="str">
        <f>IF(AND('Mapa final'!$AA$43="Muy Baja",'Mapa final'!$AC$43="Menor"),CONCATENATE("R6C",'Mapa final'!$Q$43),"")</f>
        <v/>
      </c>
      <c r="T51" s="77" t="str">
        <f>IF(AND('Mapa final'!$AA$44="Muy Baja",'Mapa final'!$AC$44="Menor"),CONCATENATE("R6C",'Mapa final'!$Q$44),"")</f>
        <v/>
      </c>
      <c r="U51" s="78" t="str">
        <f>IF(AND('Mapa final'!$AA$45="Muy Baja",'Mapa final'!$AC$45="Menor"),CONCATENATE("R6C",'Mapa final'!$Q$45),"")</f>
        <v/>
      </c>
      <c r="V51" s="67" t="str">
        <f>IF(AND('Mapa final'!$AA$40="Muy Baja",'Mapa final'!$AC$40="Moderado"),CONCATENATE("R6C",'Mapa final'!$Q$40),"")</f>
        <v/>
      </c>
      <c r="W51" s="68" t="str">
        <f>IF(AND('Mapa final'!$AA$41="Muy Baja",'Mapa final'!$AC$41="Moderado"),CONCATENATE("R6C",'Mapa final'!$Q$41),"")</f>
        <v/>
      </c>
      <c r="X51" s="68" t="str">
        <f>IF(AND('Mapa final'!$AA$42="Muy Baja",'Mapa final'!$AC$42="Moderado"),CONCATENATE("R6C",'Mapa final'!$Q$42),"")</f>
        <v/>
      </c>
      <c r="Y51" s="68" t="str">
        <f>IF(AND('Mapa final'!$AA$43="Muy Baja",'Mapa final'!$AC$43="Moderado"),CONCATENATE("R6C",'Mapa final'!$Q$43),"")</f>
        <v/>
      </c>
      <c r="Z51" s="68" t="str">
        <f>IF(AND('Mapa final'!$AA$44="Muy Baja",'Mapa final'!$AC$44="Moderado"),CONCATENATE("R6C",'Mapa final'!$Q$44),"")</f>
        <v/>
      </c>
      <c r="AA51" s="69" t="str">
        <f>IF(AND('Mapa final'!$AA$45="Muy Baja",'Mapa final'!$AC$45="Moderado"),CONCATENATE("R6C",'Mapa final'!$Q$45),"")</f>
        <v/>
      </c>
      <c r="AB51" s="52" t="str">
        <f>IF(AND('Mapa final'!$AA$40="Muy Baja",'Mapa final'!$AC$40="Mayor"),CONCATENATE("R6C",'Mapa final'!$Q$40),"")</f>
        <v/>
      </c>
      <c r="AC51" s="53" t="str">
        <f>IF(AND('Mapa final'!$AA$41="Muy Baja",'Mapa final'!$AC$41="Mayor"),CONCATENATE("R6C",'Mapa final'!$Q$41),"")</f>
        <v/>
      </c>
      <c r="AD51" s="53" t="str">
        <f>IF(AND('Mapa final'!$AA$42="Muy Baja",'Mapa final'!$AC$42="Mayor"),CONCATENATE("R6C",'Mapa final'!$Q$42),"")</f>
        <v/>
      </c>
      <c r="AE51" s="53" t="str">
        <f>IF(AND('Mapa final'!$AA$43="Muy Baja",'Mapa final'!$AC$43="Mayor"),CONCATENATE("R6C",'Mapa final'!$Q$43),"")</f>
        <v/>
      </c>
      <c r="AF51" s="53" t="str">
        <f>IF(AND('Mapa final'!$AA$44="Muy Baja",'Mapa final'!$AC$44="Mayor"),CONCATENATE("R6C",'Mapa final'!$Q$44),"")</f>
        <v/>
      </c>
      <c r="AG51" s="54" t="str">
        <f>IF(AND('Mapa final'!$AA$45="Muy Baja",'Mapa final'!$AC$45="Mayor"),CONCATENATE("R6C",'Mapa final'!$Q$45),"")</f>
        <v/>
      </c>
      <c r="AH51" s="55" t="str">
        <f>IF(AND('Mapa final'!$AA$40="Muy Baja",'Mapa final'!$AC$40="Catastrófico"),CONCATENATE("R6C",'Mapa final'!$Q$40),"")</f>
        <v/>
      </c>
      <c r="AI51" s="56" t="str">
        <f>IF(AND('Mapa final'!$AA$41="Muy Baja",'Mapa final'!$AC$41="Catastrófico"),CONCATENATE("R6C",'Mapa final'!$Q$41),"")</f>
        <v/>
      </c>
      <c r="AJ51" s="56" t="str">
        <f>IF(AND('Mapa final'!$AA$42="Muy Baja",'Mapa final'!$AC$42="Catastrófico"),CONCATENATE("R6C",'Mapa final'!$Q$42),"")</f>
        <v/>
      </c>
      <c r="AK51" s="56" t="str">
        <f>IF(AND('Mapa final'!$AA$43="Muy Baja",'Mapa final'!$AC$43="Catastrófico"),CONCATENATE("R6C",'Mapa final'!$Q$43),"")</f>
        <v/>
      </c>
      <c r="AL51" s="56" t="str">
        <f>IF(AND('Mapa final'!$AA$44="Muy Baja",'Mapa final'!$AC$44="Catastrófico"),CONCATENATE("R6C",'Mapa final'!$Q$44),"")</f>
        <v/>
      </c>
      <c r="AM51" s="57" t="str">
        <f>IF(AND('Mapa final'!$AA$45="Muy Baja",'Mapa final'!$AC$45="Catastrófico"),CONCATENATE("R6C",'Mapa final'!$Q$45),"")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43"/>
      <c r="C52" s="243"/>
      <c r="D52" s="244"/>
      <c r="E52" s="342"/>
      <c r="F52" s="341"/>
      <c r="G52" s="341"/>
      <c r="H52" s="341"/>
      <c r="I52" s="357"/>
      <c r="J52" s="76" t="str">
        <f>IF(AND('Mapa final'!$AA$46="Muy Baja",'Mapa final'!$AC$46="Leve"),CONCATENATE("R7C",'Mapa final'!$Q$46),"")</f>
        <v/>
      </c>
      <c r="K52" s="77" t="str">
        <f>IF(AND('Mapa final'!$AA$47="Muy Baja",'Mapa final'!$AC$47="Leve"),CONCATENATE("R7C",'Mapa final'!$Q$47),"")</f>
        <v/>
      </c>
      <c r="L52" s="77" t="str">
        <f>IF(AND('Mapa final'!$AA$48="Muy Baja",'Mapa final'!$AC$48="Leve"),CONCATENATE("R7C",'Mapa final'!$Q$48),"")</f>
        <v/>
      </c>
      <c r="M52" s="77" t="str">
        <f>IF(AND('Mapa final'!$AA$49="Muy Baja",'Mapa final'!$AC$49="Leve"),CONCATENATE("R7C",'Mapa final'!$Q$49),"")</f>
        <v/>
      </c>
      <c r="N52" s="77" t="str">
        <f>IF(AND('Mapa final'!$AA$50="Muy Baja",'Mapa final'!$AC$50="Leve"),CONCATENATE("R7C",'Mapa final'!$Q$50),"")</f>
        <v/>
      </c>
      <c r="O52" s="78" t="str">
        <f>IF(AND('Mapa final'!$AA$51="Muy Baja",'Mapa final'!$AC$51="Leve"),CONCATENATE("R7C",'Mapa final'!$Q$51),"")</f>
        <v/>
      </c>
      <c r="P52" s="76" t="str">
        <f>IF(AND('Mapa final'!$AA$46="Muy Baja",'Mapa final'!$AC$46="Menor"),CONCATENATE("R7C",'Mapa final'!$Q$46),"")</f>
        <v/>
      </c>
      <c r="Q52" s="77" t="str">
        <f>IF(AND('Mapa final'!$AA$47="Muy Baja",'Mapa final'!$AC$47="Menor"),CONCATENATE("R7C",'Mapa final'!$Q$47),"")</f>
        <v/>
      </c>
      <c r="R52" s="77" t="str">
        <f>IF(AND('Mapa final'!$AA$48="Muy Baja",'Mapa final'!$AC$48="Menor"),CONCATENATE("R7C",'Mapa final'!$Q$48),"")</f>
        <v/>
      </c>
      <c r="S52" s="77" t="str">
        <f>IF(AND('Mapa final'!$AA$49="Muy Baja",'Mapa final'!$AC$49="Menor"),CONCATENATE("R7C",'Mapa final'!$Q$49),"")</f>
        <v/>
      </c>
      <c r="T52" s="77" t="str">
        <f>IF(AND('Mapa final'!$AA$50="Muy Baja",'Mapa final'!$AC$50="Menor"),CONCATENATE("R7C",'Mapa final'!$Q$50),"")</f>
        <v/>
      </c>
      <c r="U52" s="78" t="str">
        <f>IF(AND('Mapa final'!$AA$51="Muy Baja",'Mapa final'!$AC$51="Menor"),CONCATENATE("R7C",'Mapa final'!$Q$51),"")</f>
        <v/>
      </c>
      <c r="V52" s="67" t="str">
        <f>IF(AND('Mapa final'!$AA$46="Muy Baja",'Mapa final'!$AC$46="Moderado"),CONCATENATE("R7C",'Mapa final'!$Q$46),"")</f>
        <v/>
      </c>
      <c r="W52" s="68" t="str">
        <f>IF(AND('Mapa final'!$AA$47="Muy Baja",'Mapa final'!$AC$47="Moderado"),CONCATENATE("R7C",'Mapa final'!$Q$47),"")</f>
        <v/>
      </c>
      <c r="X52" s="68" t="str">
        <f>IF(AND('Mapa final'!$AA$48="Muy Baja",'Mapa final'!$AC$48="Moderado"),CONCATENATE("R7C",'Mapa final'!$Q$48),"")</f>
        <v/>
      </c>
      <c r="Y52" s="68" t="str">
        <f>IF(AND('Mapa final'!$AA$49="Muy Baja",'Mapa final'!$AC$49="Moderado"),CONCATENATE("R7C",'Mapa final'!$Q$49),"")</f>
        <v/>
      </c>
      <c r="Z52" s="68" t="str">
        <f>IF(AND('Mapa final'!$AA$50="Muy Baja",'Mapa final'!$AC$50="Moderado"),CONCATENATE("R7C",'Mapa final'!$Q$50),"")</f>
        <v/>
      </c>
      <c r="AA52" s="69" t="str">
        <f>IF(AND('Mapa final'!$AA$51="Muy Baja",'Mapa final'!$AC$51="Moderado"),CONCATENATE("R7C",'Mapa final'!$Q$51),"")</f>
        <v/>
      </c>
      <c r="AB52" s="52" t="str">
        <f>IF(AND('Mapa final'!$AA$46="Muy Baja",'Mapa final'!$AC$46="Mayor"),CONCATENATE("R7C",'Mapa final'!$Q$46),"")</f>
        <v/>
      </c>
      <c r="AC52" s="53" t="str">
        <f>IF(AND('Mapa final'!$AA$47="Muy Baja",'Mapa final'!$AC$47="Mayor"),CONCATENATE("R7C",'Mapa final'!$Q$47),"")</f>
        <v/>
      </c>
      <c r="AD52" s="53" t="str">
        <f>IF(AND('Mapa final'!$AA$48="Muy Baja",'Mapa final'!$AC$48="Mayor"),CONCATENATE("R7C",'Mapa final'!$Q$48),"")</f>
        <v/>
      </c>
      <c r="AE52" s="53" t="str">
        <f>IF(AND('Mapa final'!$AA$49="Muy Baja",'Mapa final'!$AC$49="Mayor"),CONCATENATE("R7C",'Mapa final'!$Q$49),"")</f>
        <v/>
      </c>
      <c r="AF52" s="53" t="str">
        <f>IF(AND('Mapa final'!$AA$50="Muy Baja",'Mapa final'!$AC$50="Mayor"),CONCATENATE("R7C",'Mapa final'!$Q$50),"")</f>
        <v/>
      </c>
      <c r="AG52" s="54" t="str">
        <f>IF(AND('Mapa final'!$AA$51="Muy Baja",'Mapa final'!$AC$51="Mayor"),CONCATENATE("R7C",'Mapa final'!$Q$51),"")</f>
        <v/>
      </c>
      <c r="AH52" s="55" t="str">
        <f>IF(AND('Mapa final'!$AA$46="Muy Baja",'Mapa final'!$AC$46="Catastrófico"),CONCATENATE("R7C",'Mapa final'!$Q$46),"")</f>
        <v/>
      </c>
      <c r="AI52" s="56" t="str">
        <f>IF(AND('Mapa final'!$AA$47="Muy Baja",'Mapa final'!$AC$47="Catastrófico"),CONCATENATE("R7C",'Mapa final'!$Q$47),"")</f>
        <v/>
      </c>
      <c r="AJ52" s="56" t="str">
        <f>IF(AND('Mapa final'!$AA$48="Muy Baja",'Mapa final'!$AC$48="Catastrófico"),CONCATENATE("R7C",'Mapa final'!$Q$48),"")</f>
        <v/>
      </c>
      <c r="AK52" s="56" t="str">
        <f>IF(AND('Mapa final'!$AA$49="Muy Baja",'Mapa final'!$AC$49="Catastrófico"),CONCATENATE("R7C",'Mapa final'!$Q$49),"")</f>
        <v/>
      </c>
      <c r="AL52" s="56" t="str">
        <f>IF(AND('Mapa final'!$AA$50="Muy Baja",'Mapa final'!$AC$50="Catastrófico"),CONCATENATE("R7C",'Mapa final'!$Q$50),"")</f>
        <v/>
      </c>
      <c r="AM52" s="57" t="str">
        <f>IF(AND('Mapa final'!$AA$51="Muy Baja",'Mapa final'!$AC$51="Catastrófico"),CONCATENATE("R7C",'Mapa final'!$Q$51),"")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43"/>
      <c r="C53" s="243"/>
      <c r="D53" s="244"/>
      <c r="E53" s="342"/>
      <c r="F53" s="341"/>
      <c r="G53" s="341"/>
      <c r="H53" s="341"/>
      <c r="I53" s="357"/>
      <c r="J53" s="76" t="str">
        <f>IF(AND('Mapa final'!$AA$52="Muy Baja",'Mapa final'!$AC$52="Leve"),CONCATENATE("R8C",'Mapa final'!$Q$52),"")</f>
        <v/>
      </c>
      <c r="K53" s="77" t="str">
        <f>IF(AND('Mapa final'!$AA$53="Muy Baja",'Mapa final'!$AC$53="Leve"),CONCATENATE("R8C",'Mapa final'!$Q$53),"")</f>
        <v/>
      </c>
      <c r="L53" s="77" t="str">
        <f>IF(AND('Mapa final'!$AA$54="Muy Baja",'Mapa final'!$AC$54="Leve"),CONCATENATE("R8C",'Mapa final'!$Q$54),"")</f>
        <v/>
      </c>
      <c r="M53" s="77" t="str">
        <f>IF(AND('Mapa final'!$AA$55="Muy Baja",'Mapa final'!$AC$55="Leve"),CONCATENATE("R8C",'Mapa final'!$Q$55),"")</f>
        <v/>
      </c>
      <c r="N53" s="77" t="str">
        <f>IF(AND('Mapa final'!$AA$56="Muy Baja",'Mapa final'!$AC$56="Leve"),CONCATENATE("R8C",'Mapa final'!$Q$56),"")</f>
        <v/>
      </c>
      <c r="O53" s="78" t="str">
        <f>IF(AND('Mapa final'!$AA$57="Muy Baja",'Mapa final'!$AC$57="Leve"),CONCATENATE("R8C",'Mapa final'!$Q$57),"")</f>
        <v/>
      </c>
      <c r="P53" s="76" t="str">
        <f>IF(AND('Mapa final'!$AA$52="Muy Baja",'Mapa final'!$AC$52="Menor"),CONCATENATE("R8C",'Mapa final'!$Q$52),"")</f>
        <v/>
      </c>
      <c r="Q53" s="77" t="str">
        <f>IF(AND('Mapa final'!$AA$53="Muy Baja",'Mapa final'!$AC$53="Menor"),CONCATENATE("R8C",'Mapa final'!$Q$53),"")</f>
        <v/>
      </c>
      <c r="R53" s="77" t="str">
        <f>IF(AND('Mapa final'!$AA$54="Muy Baja",'Mapa final'!$AC$54="Menor"),CONCATENATE("R8C",'Mapa final'!$Q$54),"")</f>
        <v/>
      </c>
      <c r="S53" s="77" t="str">
        <f>IF(AND('Mapa final'!$AA$55="Muy Baja",'Mapa final'!$AC$55="Menor"),CONCATENATE("R8C",'Mapa final'!$Q$55),"")</f>
        <v/>
      </c>
      <c r="T53" s="77" t="str">
        <f>IF(AND('Mapa final'!$AA$56="Muy Baja",'Mapa final'!$AC$56="Menor"),CONCATENATE("R8C",'Mapa final'!$Q$56),"")</f>
        <v/>
      </c>
      <c r="U53" s="78" t="str">
        <f>IF(AND('Mapa final'!$AA$57="Muy Baja",'Mapa final'!$AC$57="Menor"),CONCATENATE("R8C",'Mapa final'!$Q$57),"")</f>
        <v/>
      </c>
      <c r="V53" s="67" t="str">
        <f>IF(AND('Mapa final'!$AA$52="Muy Baja",'Mapa final'!$AC$52="Moderado"),CONCATENATE("R8C",'Mapa final'!$Q$52),"")</f>
        <v/>
      </c>
      <c r="W53" s="68" t="str">
        <f>IF(AND('Mapa final'!$AA$53="Muy Baja",'Mapa final'!$AC$53="Moderado"),CONCATENATE("R8C",'Mapa final'!$Q$53),"")</f>
        <v/>
      </c>
      <c r="X53" s="68" t="str">
        <f>IF(AND('Mapa final'!$AA$54="Muy Baja",'Mapa final'!$AC$54="Moderado"),CONCATENATE("R8C",'Mapa final'!$Q$54),"")</f>
        <v/>
      </c>
      <c r="Y53" s="68" t="str">
        <f>IF(AND('Mapa final'!$AA$55="Muy Baja",'Mapa final'!$AC$55="Moderado"),CONCATENATE("R8C",'Mapa final'!$Q$55),"")</f>
        <v/>
      </c>
      <c r="Z53" s="68" t="str">
        <f>IF(AND('Mapa final'!$AA$56="Muy Baja",'Mapa final'!$AC$56="Moderado"),CONCATENATE("R8C",'Mapa final'!$Q$56),"")</f>
        <v/>
      </c>
      <c r="AA53" s="69" t="str">
        <f>IF(AND('Mapa final'!$AA$57="Muy Baja",'Mapa final'!$AC$57="Moderado"),CONCATENATE("R8C",'Mapa final'!$Q$57),"")</f>
        <v/>
      </c>
      <c r="AB53" s="52" t="str">
        <f>IF(AND('Mapa final'!$AA$52="Muy Baja",'Mapa final'!$AC$52="Mayor"),CONCATENATE("R8C",'Mapa final'!$Q$52),"")</f>
        <v/>
      </c>
      <c r="AC53" s="53" t="str">
        <f>IF(AND('Mapa final'!$AA$53="Muy Baja",'Mapa final'!$AC$53="Mayor"),CONCATENATE("R8C",'Mapa final'!$Q$53),"")</f>
        <v/>
      </c>
      <c r="AD53" s="53" t="str">
        <f>IF(AND('Mapa final'!$AA$54="Muy Baja",'Mapa final'!$AC$54="Mayor"),CONCATENATE("R8C",'Mapa final'!$Q$54),"")</f>
        <v/>
      </c>
      <c r="AE53" s="53" t="str">
        <f>IF(AND('Mapa final'!$AA$55="Muy Baja",'Mapa final'!$AC$55="Mayor"),CONCATENATE("R8C",'Mapa final'!$Q$55),"")</f>
        <v/>
      </c>
      <c r="AF53" s="53" t="str">
        <f>IF(AND('Mapa final'!$AA$56="Muy Baja",'Mapa final'!$AC$56="Mayor"),CONCATENATE("R8C",'Mapa final'!$Q$56),"")</f>
        <v/>
      </c>
      <c r="AG53" s="54" t="str">
        <f>IF(AND('Mapa final'!$AA$57="Muy Baja",'Mapa final'!$AC$57="Mayor"),CONCATENATE("R8C",'Mapa final'!$Q$57),"")</f>
        <v/>
      </c>
      <c r="AH53" s="55" t="str">
        <f>IF(AND('Mapa final'!$AA$52="Muy Baja",'Mapa final'!$AC$52="Catastrófico"),CONCATENATE("R8C",'Mapa final'!$Q$52),"")</f>
        <v/>
      </c>
      <c r="AI53" s="56" t="str">
        <f>IF(AND('Mapa final'!$AA$53="Muy Baja",'Mapa final'!$AC$53="Catastrófico"),CONCATENATE("R8C",'Mapa final'!$Q$53),"")</f>
        <v/>
      </c>
      <c r="AJ53" s="56" t="str">
        <f>IF(AND('Mapa final'!$AA$54="Muy Baja",'Mapa final'!$AC$54="Catastrófico"),CONCATENATE("R8C",'Mapa final'!$Q$54),"")</f>
        <v/>
      </c>
      <c r="AK53" s="56" t="str">
        <f>IF(AND('Mapa final'!$AA$55="Muy Baja",'Mapa final'!$AC$55="Catastrófico"),CONCATENATE("R8C",'Mapa final'!$Q$55),"")</f>
        <v/>
      </c>
      <c r="AL53" s="56" t="str">
        <f>IF(AND('Mapa final'!$AA$56="Muy Baja",'Mapa final'!$AC$56="Catastrófico"),CONCATENATE("R8C",'Mapa final'!$Q$56),"")</f>
        <v/>
      </c>
      <c r="AM53" s="57" t="str">
        <f>IF(AND('Mapa final'!$AA$57="Muy Baja",'Mapa final'!$AC$57="Catastrófico"),CONCATENATE("R8C",'Mapa final'!$Q$57),"")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43"/>
      <c r="C54" s="243"/>
      <c r="D54" s="244"/>
      <c r="E54" s="342"/>
      <c r="F54" s="341"/>
      <c r="G54" s="341"/>
      <c r="H54" s="341"/>
      <c r="I54" s="357"/>
      <c r="J54" s="76" t="str">
        <f>IF(AND('Mapa final'!$AA$58="Muy Baja",'Mapa final'!$AC$58="Leve"),CONCATENATE("R9C",'Mapa final'!$Q$58),"")</f>
        <v/>
      </c>
      <c r="K54" s="77" t="str">
        <f>IF(AND('Mapa final'!$AA$59="Muy Baja",'Mapa final'!$AC$59="Leve"),CONCATENATE("R9C",'Mapa final'!$Q$59),"")</f>
        <v/>
      </c>
      <c r="L54" s="77" t="str">
        <f>IF(AND('Mapa final'!$AA$60="Muy Baja",'Mapa final'!$AC$60="Leve"),CONCATENATE("R9C",'Mapa final'!$Q$60),"")</f>
        <v/>
      </c>
      <c r="M54" s="77" t="str">
        <f>IF(AND('Mapa final'!$AA$61="Muy Baja",'Mapa final'!$AC$61="Leve"),CONCATENATE("R9C",'Mapa final'!$Q$61),"")</f>
        <v/>
      </c>
      <c r="N54" s="77" t="str">
        <f>IF(AND('Mapa final'!$AA$62="Muy Baja",'Mapa final'!$AC$62="Leve"),CONCATENATE("R9C",'Mapa final'!$Q$62),"")</f>
        <v/>
      </c>
      <c r="O54" s="78" t="str">
        <f>IF(AND('Mapa final'!$AA$63="Muy Baja",'Mapa final'!$AC$63="Leve"),CONCATENATE("R9C",'Mapa final'!$Q$63),"")</f>
        <v/>
      </c>
      <c r="P54" s="76" t="str">
        <f>IF(AND('Mapa final'!$AA$58="Muy Baja",'Mapa final'!$AC$58="Menor"),CONCATENATE("R9C",'Mapa final'!$Q$58),"")</f>
        <v/>
      </c>
      <c r="Q54" s="77" t="str">
        <f>IF(AND('Mapa final'!$AA$59="Muy Baja",'Mapa final'!$AC$59="Menor"),CONCATENATE("R9C",'Mapa final'!$Q$59),"")</f>
        <v/>
      </c>
      <c r="R54" s="77" t="str">
        <f>IF(AND('Mapa final'!$AA$60="Muy Baja",'Mapa final'!$AC$60="Menor"),CONCATENATE("R9C",'Mapa final'!$Q$60),"")</f>
        <v/>
      </c>
      <c r="S54" s="77" t="str">
        <f>IF(AND('Mapa final'!$AA$61="Muy Baja",'Mapa final'!$AC$61="Menor"),CONCATENATE("R9C",'Mapa final'!$Q$61),"")</f>
        <v/>
      </c>
      <c r="T54" s="77" t="str">
        <f>IF(AND('Mapa final'!$AA$62="Muy Baja",'Mapa final'!$AC$62="Menor"),CONCATENATE("R9C",'Mapa final'!$Q$62),"")</f>
        <v/>
      </c>
      <c r="U54" s="78" t="str">
        <f>IF(AND('Mapa final'!$AA$63="Muy Baja",'Mapa final'!$AC$63="Menor"),CONCATENATE("R9C",'Mapa final'!$Q$63),"")</f>
        <v/>
      </c>
      <c r="V54" s="67" t="str">
        <f>IF(AND('Mapa final'!$AA$58="Muy Baja",'Mapa final'!$AC$58="Moderado"),CONCATENATE("R9C",'Mapa final'!$Q$58),"")</f>
        <v/>
      </c>
      <c r="W54" s="68" t="str">
        <f>IF(AND('Mapa final'!$AA$59="Muy Baja",'Mapa final'!$AC$59="Moderado"),CONCATENATE("R9C",'Mapa final'!$Q$59),"")</f>
        <v/>
      </c>
      <c r="X54" s="68" t="str">
        <f>IF(AND('Mapa final'!$AA$60="Muy Baja",'Mapa final'!$AC$60="Moderado"),CONCATENATE("R9C",'Mapa final'!$Q$60),"")</f>
        <v/>
      </c>
      <c r="Y54" s="68" t="str">
        <f>IF(AND('Mapa final'!$AA$61="Muy Baja",'Mapa final'!$AC$61="Moderado"),CONCATENATE("R9C",'Mapa final'!$Q$61),"")</f>
        <v/>
      </c>
      <c r="Z54" s="68" t="str">
        <f>IF(AND('Mapa final'!$AA$62="Muy Baja",'Mapa final'!$AC$62="Moderado"),CONCATENATE("R9C",'Mapa final'!$Q$62),"")</f>
        <v/>
      </c>
      <c r="AA54" s="69" t="str">
        <f>IF(AND('Mapa final'!$AA$63="Muy Baja",'Mapa final'!$AC$63="Moderado"),CONCATENATE("R9C",'Mapa final'!$Q$63),"")</f>
        <v/>
      </c>
      <c r="AB54" s="52" t="str">
        <f>IF(AND('Mapa final'!$AA$58="Muy Baja",'Mapa final'!$AC$58="Mayor"),CONCATENATE("R9C",'Mapa final'!$Q$58),"")</f>
        <v/>
      </c>
      <c r="AC54" s="53" t="str">
        <f>IF(AND('Mapa final'!$AA$59="Muy Baja",'Mapa final'!$AC$59="Mayor"),CONCATENATE("R9C",'Mapa final'!$Q$59),"")</f>
        <v/>
      </c>
      <c r="AD54" s="53" t="str">
        <f>IF(AND('Mapa final'!$AA$60="Muy Baja",'Mapa final'!$AC$60="Mayor"),CONCATENATE("R9C",'Mapa final'!$Q$60),"")</f>
        <v/>
      </c>
      <c r="AE54" s="53" t="str">
        <f>IF(AND('Mapa final'!$AA$61="Muy Baja",'Mapa final'!$AC$61="Mayor"),CONCATENATE("R9C",'Mapa final'!$Q$61),"")</f>
        <v/>
      </c>
      <c r="AF54" s="53" t="str">
        <f>IF(AND('Mapa final'!$AA$62="Muy Baja",'Mapa final'!$AC$62="Mayor"),CONCATENATE("R9C",'Mapa final'!$Q$62),"")</f>
        <v/>
      </c>
      <c r="AG54" s="54" t="str">
        <f>IF(AND('Mapa final'!$AA$63="Muy Baja",'Mapa final'!$AC$63="Mayor"),CONCATENATE("R9C",'Mapa final'!$Q$63),"")</f>
        <v/>
      </c>
      <c r="AH54" s="55" t="str">
        <f>IF(AND('Mapa final'!$AA$58="Muy Baja",'Mapa final'!$AC$58="Catastrófico"),CONCATENATE("R9C",'Mapa final'!$Q$58),"")</f>
        <v/>
      </c>
      <c r="AI54" s="56" t="str">
        <f>IF(AND('Mapa final'!$AA$59="Muy Baja",'Mapa final'!$AC$59="Catastrófico"),CONCATENATE("R9C",'Mapa final'!$Q$59),"")</f>
        <v/>
      </c>
      <c r="AJ54" s="56" t="str">
        <f>IF(AND('Mapa final'!$AA$60="Muy Baja",'Mapa final'!$AC$60="Catastrófico"),CONCATENATE("R9C",'Mapa final'!$Q$60),"")</f>
        <v/>
      </c>
      <c r="AK54" s="56" t="str">
        <f>IF(AND('Mapa final'!$AA$61="Muy Baja",'Mapa final'!$AC$61="Catastrófico"),CONCATENATE("R9C",'Mapa final'!$Q$61),"")</f>
        <v/>
      </c>
      <c r="AL54" s="56" t="str">
        <f>IF(AND('Mapa final'!$AA$62="Muy Baja",'Mapa final'!$AC$62="Catastrófico"),CONCATENATE("R9C",'Mapa final'!$Q$62),"")</f>
        <v/>
      </c>
      <c r="AM54" s="57" t="str">
        <f>IF(AND('Mapa final'!$AA$63="Muy Baja",'Mapa final'!$AC$63="Catastrófico"),CONCATENATE("R9C",'Mapa final'!$Q$63),"")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43"/>
      <c r="C55" s="243"/>
      <c r="D55" s="244"/>
      <c r="E55" s="343"/>
      <c r="F55" s="344"/>
      <c r="G55" s="344"/>
      <c r="H55" s="344"/>
      <c r="I55" s="358"/>
      <c r="J55" s="79" t="str">
        <f>IF(AND('Mapa final'!$AA$64="Muy Baja",'Mapa final'!$AC$64="Leve"),CONCATENATE("R10C",'Mapa final'!$Q$64),"")</f>
        <v/>
      </c>
      <c r="K55" s="80" t="str">
        <f>IF(AND('Mapa final'!$AA$65="Muy Baja",'Mapa final'!$AC$65="Leve"),CONCATENATE("R10C",'Mapa final'!$Q$65),"")</f>
        <v/>
      </c>
      <c r="L55" s="80" t="str">
        <f>IF(AND('Mapa final'!$AA$66="Muy Baja",'Mapa final'!$AC$66="Leve"),CONCATENATE("R10C",'Mapa final'!$Q$66),"")</f>
        <v/>
      </c>
      <c r="M55" s="80" t="str">
        <f>IF(AND('Mapa final'!$AA$67="Muy Baja",'Mapa final'!$AC$67="Leve"),CONCATENATE("R10C",'Mapa final'!$Q$67),"")</f>
        <v/>
      </c>
      <c r="N55" s="80" t="str">
        <f>IF(AND('Mapa final'!$AA$68="Muy Baja",'Mapa final'!$AC$68="Leve"),CONCATENATE("R10C",'Mapa final'!$Q$68),"")</f>
        <v/>
      </c>
      <c r="O55" s="81" t="str">
        <f>IF(AND('Mapa final'!$AA$69="Muy Baja",'Mapa final'!$AC$69="Leve"),CONCATENATE("R10C",'Mapa final'!$Q$69),"")</f>
        <v/>
      </c>
      <c r="P55" s="79" t="str">
        <f>IF(AND('Mapa final'!$AA$64="Muy Baja",'Mapa final'!$AC$64="Menor"),CONCATENATE("R10C",'Mapa final'!$Q$64),"")</f>
        <v/>
      </c>
      <c r="Q55" s="80" t="str">
        <f>IF(AND('Mapa final'!$AA$65="Muy Baja",'Mapa final'!$AC$65="Menor"),CONCATENATE("R10C",'Mapa final'!$Q$65),"")</f>
        <v/>
      </c>
      <c r="R55" s="80" t="str">
        <f>IF(AND('Mapa final'!$AA$66="Muy Baja",'Mapa final'!$AC$66="Menor"),CONCATENATE("R10C",'Mapa final'!$Q$66),"")</f>
        <v/>
      </c>
      <c r="S55" s="80" t="str">
        <f>IF(AND('Mapa final'!$AA$67="Muy Baja",'Mapa final'!$AC$67="Menor"),CONCATENATE("R10C",'Mapa final'!$Q$67),"")</f>
        <v/>
      </c>
      <c r="T55" s="80" t="str">
        <f>IF(AND('Mapa final'!$AA$68="Muy Baja",'Mapa final'!$AC$68="Menor"),CONCATENATE("R10C",'Mapa final'!$Q$68),"")</f>
        <v/>
      </c>
      <c r="U55" s="81" t="str">
        <f>IF(AND('Mapa final'!$AA$69="Muy Baja",'Mapa final'!$AC$69="Menor"),CONCATENATE("R10C",'Mapa final'!$Q$69),"")</f>
        <v/>
      </c>
      <c r="V55" s="70" t="str">
        <f>IF(AND('Mapa final'!$AA$64="Muy Baja",'Mapa final'!$AC$64="Moderado"),CONCATENATE("R10C",'Mapa final'!$Q$64),"")</f>
        <v/>
      </c>
      <c r="W55" s="71" t="str">
        <f>IF(AND('Mapa final'!$AA$65="Muy Baja",'Mapa final'!$AC$65="Moderado"),CONCATENATE("R10C",'Mapa final'!$Q$65),"")</f>
        <v/>
      </c>
      <c r="X55" s="71" t="str">
        <f>IF(AND('Mapa final'!$AA$66="Muy Baja",'Mapa final'!$AC$66="Moderado"),CONCATENATE("R10C",'Mapa final'!$Q$66),"")</f>
        <v/>
      </c>
      <c r="Y55" s="71" t="str">
        <f>IF(AND('Mapa final'!$AA$67="Muy Baja",'Mapa final'!$AC$67="Moderado"),CONCATENATE("R10C",'Mapa final'!$Q$67),"")</f>
        <v/>
      </c>
      <c r="Z55" s="71" t="str">
        <f>IF(AND('Mapa final'!$AA$68="Muy Baja",'Mapa final'!$AC$68="Moderado"),CONCATENATE("R10C",'Mapa final'!$Q$68),"")</f>
        <v/>
      </c>
      <c r="AA55" s="72" t="str">
        <f>IF(AND('Mapa final'!$AA$69="Muy Baja",'Mapa final'!$AC$69="Moderado"),CONCATENATE("R10C",'Mapa final'!$Q$69),"")</f>
        <v/>
      </c>
      <c r="AB55" s="58" t="str">
        <f>IF(AND('Mapa final'!$AA$64="Muy Baja",'Mapa final'!$AC$64="Mayor"),CONCATENATE("R10C",'Mapa final'!$Q$64),"")</f>
        <v/>
      </c>
      <c r="AC55" s="59" t="str">
        <f>IF(AND('Mapa final'!$AA$65="Muy Baja",'Mapa final'!$AC$65="Mayor"),CONCATENATE("R10C",'Mapa final'!$Q$65),"")</f>
        <v/>
      </c>
      <c r="AD55" s="59" t="str">
        <f>IF(AND('Mapa final'!$AA$66="Muy Baja",'Mapa final'!$AC$66="Mayor"),CONCATENATE("R10C",'Mapa final'!$Q$66),"")</f>
        <v/>
      </c>
      <c r="AE55" s="59" t="str">
        <f>IF(AND('Mapa final'!$AA$67="Muy Baja",'Mapa final'!$AC$67="Mayor"),CONCATENATE("R10C",'Mapa final'!$Q$67),"")</f>
        <v/>
      </c>
      <c r="AF55" s="59" t="str">
        <f>IF(AND('Mapa final'!$AA$68="Muy Baja",'Mapa final'!$AC$68="Mayor"),CONCATENATE("R10C",'Mapa final'!$Q$68),"")</f>
        <v/>
      </c>
      <c r="AG55" s="60" t="str">
        <f>IF(AND('Mapa final'!$AA$69="Muy Baja",'Mapa final'!$AC$69="Mayor"),CONCATENATE("R10C",'Mapa final'!$Q$69),"")</f>
        <v/>
      </c>
      <c r="AH55" s="61" t="str">
        <f>IF(AND('Mapa final'!$AA$64="Muy Baja",'Mapa final'!$AC$64="Catastrófico"),CONCATENATE("R10C",'Mapa final'!$Q$64),"")</f>
        <v/>
      </c>
      <c r="AI55" s="62" t="str">
        <f>IF(AND('Mapa final'!$AA$65="Muy Baja",'Mapa final'!$AC$65="Catastrófico"),CONCATENATE("R10C",'Mapa final'!$Q$65),"")</f>
        <v/>
      </c>
      <c r="AJ55" s="62" t="str">
        <f>IF(AND('Mapa final'!$AA$66="Muy Baja",'Mapa final'!$AC$66="Catastrófico"),CONCATENATE("R10C",'Mapa final'!$Q$66),"")</f>
        <v/>
      </c>
      <c r="AK55" s="62" t="str">
        <f>IF(AND('Mapa final'!$AA$67="Muy Baja",'Mapa final'!$AC$67="Catastrófico"),CONCATENATE("R10C",'Mapa final'!$Q$67),"")</f>
        <v/>
      </c>
      <c r="AL55" s="62" t="str">
        <f>IF(AND('Mapa final'!$AA$68="Muy Baja",'Mapa final'!$AC$68="Catastrófico"),CONCATENATE("R10C",'Mapa final'!$Q$68),"")</f>
        <v/>
      </c>
      <c r="AM55" s="63" t="str">
        <f>IF(AND('Mapa final'!$AA$69="Muy Baja",'Mapa final'!$AC$69="Catastrófico"),CONCATENATE("R10C",'Mapa final'!$Q$69),"")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8" t="s">
        <v>112</v>
      </c>
      <c r="K56" s="339"/>
      <c r="L56" s="339"/>
      <c r="M56" s="339"/>
      <c r="N56" s="339"/>
      <c r="O56" s="356"/>
      <c r="P56" s="338" t="s">
        <v>111</v>
      </c>
      <c r="Q56" s="339"/>
      <c r="R56" s="339"/>
      <c r="S56" s="339"/>
      <c r="T56" s="339"/>
      <c r="U56" s="356"/>
      <c r="V56" s="338" t="s">
        <v>110</v>
      </c>
      <c r="W56" s="339"/>
      <c r="X56" s="339"/>
      <c r="Y56" s="339"/>
      <c r="Z56" s="339"/>
      <c r="AA56" s="356"/>
      <c r="AB56" s="338" t="s">
        <v>109</v>
      </c>
      <c r="AC56" s="377"/>
      <c r="AD56" s="339"/>
      <c r="AE56" s="339"/>
      <c r="AF56" s="339"/>
      <c r="AG56" s="356"/>
      <c r="AH56" s="338" t="s">
        <v>108</v>
      </c>
      <c r="AI56" s="339"/>
      <c r="AJ56" s="339"/>
      <c r="AK56" s="339"/>
      <c r="AL56" s="339"/>
      <c r="AM56" s="35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2"/>
      <c r="K57" s="341"/>
      <c r="L57" s="341"/>
      <c r="M57" s="341"/>
      <c r="N57" s="341"/>
      <c r="O57" s="357"/>
      <c r="P57" s="342"/>
      <c r="Q57" s="341"/>
      <c r="R57" s="341"/>
      <c r="S57" s="341"/>
      <c r="T57" s="341"/>
      <c r="U57" s="357"/>
      <c r="V57" s="342"/>
      <c r="W57" s="341"/>
      <c r="X57" s="341"/>
      <c r="Y57" s="341"/>
      <c r="Z57" s="341"/>
      <c r="AA57" s="357"/>
      <c r="AB57" s="342"/>
      <c r="AC57" s="341"/>
      <c r="AD57" s="341"/>
      <c r="AE57" s="341"/>
      <c r="AF57" s="341"/>
      <c r="AG57" s="357"/>
      <c r="AH57" s="342"/>
      <c r="AI57" s="341"/>
      <c r="AJ57" s="341"/>
      <c r="AK57" s="341"/>
      <c r="AL57" s="341"/>
      <c r="AM57" s="35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2"/>
      <c r="K58" s="341"/>
      <c r="L58" s="341"/>
      <c r="M58" s="341"/>
      <c r="N58" s="341"/>
      <c r="O58" s="357"/>
      <c r="P58" s="342"/>
      <c r="Q58" s="341"/>
      <c r="R58" s="341"/>
      <c r="S58" s="341"/>
      <c r="T58" s="341"/>
      <c r="U58" s="357"/>
      <c r="V58" s="342"/>
      <c r="W58" s="341"/>
      <c r="X58" s="341"/>
      <c r="Y58" s="341"/>
      <c r="Z58" s="341"/>
      <c r="AA58" s="357"/>
      <c r="AB58" s="342"/>
      <c r="AC58" s="341"/>
      <c r="AD58" s="341"/>
      <c r="AE58" s="341"/>
      <c r="AF58" s="341"/>
      <c r="AG58" s="357"/>
      <c r="AH58" s="342"/>
      <c r="AI58" s="341"/>
      <c r="AJ58" s="341"/>
      <c r="AK58" s="341"/>
      <c r="AL58" s="341"/>
      <c r="AM58" s="35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2"/>
      <c r="K59" s="341"/>
      <c r="L59" s="341"/>
      <c r="M59" s="341"/>
      <c r="N59" s="341"/>
      <c r="O59" s="357"/>
      <c r="P59" s="342"/>
      <c r="Q59" s="341"/>
      <c r="R59" s="341"/>
      <c r="S59" s="341"/>
      <c r="T59" s="341"/>
      <c r="U59" s="357"/>
      <c r="V59" s="342"/>
      <c r="W59" s="341"/>
      <c r="X59" s="341"/>
      <c r="Y59" s="341"/>
      <c r="Z59" s="341"/>
      <c r="AA59" s="357"/>
      <c r="AB59" s="342"/>
      <c r="AC59" s="341"/>
      <c r="AD59" s="341"/>
      <c r="AE59" s="341"/>
      <c r="AF59" s="341"/>
      <c r="AG59" s="357"/>
      <c r="AH59" s="342"/>
      <c r="AI59" s="341"/>
      <c r="AJ59" s="341"/>
      <c r="AK59" s="341"/>
      <c r="AL59" s="341"/>
      <c r="AM59" s="35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2"/>
      <c r="K60" s="341"/>
      <c r="L60" s="341"/>
      <c r="M60" s="341"/>
      <c r="N60" s="341"/>
      <c r="O60" s="357"/>
      <c r="P60" s="342"/>
      <c r="Q60" s="341"/>
      <c r="R60" s="341"/>
      <c r="S60" s="341"/>
      <c r="T60" s="341"/>
      <c r="U60" s="357"/>
      <c r="V60" s="342"/>
      <c r="W60" s="341"/>
      <c r="X60" s="341"/>
      <c r="Y60" s="341"/>
      <c r="Z60" s="341"/>
      <c r="AA60" s="357"/>
      <c r="AB60" s="342"/>
      <c r="AC60" s="341"/>
      <c r="AD60" s="341"/>
      <c r="AE60" s="341"/>
      <c r="AF60" s="341"/>
      <c r="AG60" s="357"/>
      <c r="AH60" s="342"/>
      <c r="AI60" s="341"/>
      <c r="AJ60" s="341"/>
      <c r="AK60" s="341"/>
      <c r="AL60" s="341"/>
      <c r="AM60" s="35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3"/>
      <c r="K61" s="344"/>
      <c r="L61" s="344"/>
      <c r="M61" s="344"/>
      <c r="N61" s="344"/>
      <c r="O61" s="358"/>
      <c r="P61" s="343"/>
      <c r="Q61" s="344"/>
      <c r="R61" s="344"/>
      <c r="S61" s="344"/>
      <c r="T61" s="344"/>
      <c r="U61" s="358"/>
      <c r="V61" s="343"/>
      <c r="W61" s="344"/>
      <c r="X61" s="344"/>
      <c r="Y61" s="344"/>
      <c r="Z61" s="344"/>
      <c r="AA61" s="358"/>
      <c r="AB61" s="343"/>
      <c r="AC61" s="344"/>
      <c r="AD61" s="344"/>
      <c r="AE61" s="344"/>
      <c r="AF61" s="344"/>
      <c r="AG61" s="358"/>
      <c r="AH61" s="343"/>
      <c r="AI61" s="344"/>
      <c r="AJ61" s="344"/>
      <c r="AK61" s="344"/>
      <c r="AL61" s="344"/>
      <c r="AM61" s="35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8" t="s">
        <v>55</v>
      </c>
      <c r="C1" s="378"/>
      <c r="D1" s="378"/>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9" t="s">
        <v>63</v>
      </c>
      <c r="C1" s="379"/>
      <c r="D1" s="379"/>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0" t="s">
        <v>78</v>
      </c>
      <c r="C1" s="381"/>
      <c r="D1" s="381"/>
      <c r="E1" s="381"/>
      <c r="F1" s="382"/>
    </row>
    <row r="2" spans="2:6" ht="16.5" thickBot="1" x14ac:dyDescent="0.3">
      <c r="B2" s="89"/>
      <c r="C2" s="89"/>
      <c r="D2" s="89"/>
      <c r="E2" s="89"/>
      <c r="F2" s="89"/>
    </row>
    <row r="3" spans="2:6" ht="16.5" thickBot="1" x14ac:dyDescent="0.25">
      <c r="B3" s="384" t="s">
        <v>64</v>
      </c>
      <c r="C3" s="385"/>
      <c r="D3" s="385"/>
      <c r="E3" s="101" t="s">
        <v>65</v>
      </c>
      <c r="F3" s="102" t="s">
        <v>66</v>
      </c>
    </row>
    <row r="4" spans="2:6" ht="31.5" x14ac:dyDescent="0.2">
      <c r="B4" s="386" t="s">
        <v>67</v>
      </c>
      <c r="C4" s="388" t="s">
        <v>13</v>
      </c>
      <c r="D4" s="90" t="s">
        <v>14</v>
      </c>
      <c r="E4" s="91" t="s">
        <v>68</v>
      </c>
      <c r="F4" s="92">
        <v>0.25</v>
      </c>
    </row>
    <row r="5" spans="2:6" ht="47.25" x14ac:dyDescent="0.2">
      <c r="B5" s="387"/>
      <c r="C5" s="389"/>
      <c r="D5" s="93" t="s">
        <v>15</v>
      </c>
      <c r="E5" s="94" t="s">
        <v>69</v>
      </c>
      <c r="F5" s="95">
        <v>0.15</v>
      </c>
    </row>
    <row r="6" spans="2:6" ht="47.25" x14ac:dyDescent="0.2">
      <c r="B6" s="387"/>
      <c r="C6" s="389"/>
      <c r="D6" s="93" t="s">
        <v>16</v>
      </c>
      <c r="E6" s="94" t="s">
        <v>70</v>
      </c>
      <c r="F6" s="95">
        <v>0.1</v>
      </c>
    </row>
    <row r="7" spans="2:6" ht="63" x14ac:dyDescent="0.2">
      <c r="B7" s="387"/>
      <c r="C7" s="389" t="s">
        <v>17</v>
      </c>
      <c r="D7" s="93" t="s">
        <v>10</v>
      </c>
      <c r="E7" s="94" t="s">
        <v>71</v>
      </c>
      <c r="F7" s="95">
        <v>0.25</v>
      </c>
    </row>
    <row r="8" spans="2:6" ht="31.5" x14ac:dyDescent="0.2">
      <c r="B8" s="387"/>
      <c r="C8" s="389"/>
      <c r="D8" s="93" t="s">
        <v>9</v>
      </c>
      <c r="E8" s="94" t="s">
        <v>72</v>
      </c>
      <c r="F8" s="95">
        <v>0.15</v>
      </c>
    </row>
    <row r="9" spans="2:6" ht="47.25" x14ac:dyDescent="0.2">
      <c r="B9" s="387" t="s">
        <v>162</v>
      </c>
      <c r="C9" s="389" t="s">
        <v>18</v>
      </c>
      <c r="D9" s="93" t="s">
        <v>19</v>
      </c>
      <c r="E9" s="94" t="s">
        <v>73</v>
      </c>
      <c r="F9" s="96" t="s">
        <v>74</v>
      </c>
    </row>
    <row r="10" spans="2:6" ht="63" x14ac:dyDescent="0.2">
      <c r="B10" s="387"/>
      <c r="C10" s="389"/>
      <c r="D10" s="93" t="s">
        <v>20</v>
      </c>
      <c r="E10" s="94" t="s">
        <v>75</v>
      </c>
      <c r="F10" s="96" t="s">
        <v>74</v>
      </c>
    </row>
    <row r="11" spans="2:6" ht="47.25" x14ac:dyDescent="0.2">
      <c r="B11" s="387"/>
      <c r="C11" s="389" t="s">
        <v>21</v>
      </c>
      <c r="D11" s="93" t="s">
        <v>22</v>
      </c>
      <c r="E11" s="94" t="s">
        <v>76</v>
      </c>
      <c r="F11" s="96" t="s">
        <v>74</v>
      </c>
    </row>
    <row r="12" spans="2:6" ht="47.25" x14ac:dyDescent="0.2">
      <c r="B12" s="387"/>
      <c r="C12" s="389"/>
      <c r="D12" s="93" t="s">
        <v>23</v>
      </c>
      <c r="E12" s="94" t="s">
        <v>77</v>
      </c>
      <c r="F12" s="96" t="s">
        <v>74</v>
      </c>
    </row>
    <row r="13" spans="2:6" ht="31.5" x14ac:dyDescent="0.2">
      <c r="B13" s="387"/>
      <c r="C13" s="389" t="s">
        <v>24</v>
      </c>
      <c r="D13" s="93" t="s">
        <v>119</v>
      </c>
      <c r="E13" s="94" t="s">
        <v>122</v>
      </c>
      <c r="F13" s="96" t="s">
        <v>74</v>
      </c>
    </row>
    <row r="14" spans="2:6" ht="32.25" thickBot="1" x14ac:dyDescent="0.25">
      <c r="B14" s="390"/>
      <c r="C14" s="391"/>
      <c r="D14" s="97" t="s">
        <v>120</v>
      </c>
      <c r="E14" s="98" t="s">
        <v>121</v>
      </c>
      <c r="F14" s="99" t="s">
        <v>74</v>
      </c>
    </row>
    <row r="15" spans="2:6" ht="49.5" customHeight="1" x14ac:dyDescent="0.2">
      <c r="B15" s="383" t="s">
        <v>159</v>
      </c>
      <c r="C15" s="383"/>
      <c r="D15" s="383"/>
      <c r="E15" s="383"/>
      <c r="F15" s="383"/>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topLeftCell="E1" workbookViewId="0">
      <selection activeCell="B20" sqref="B20"/>
    </sheetView>
  </sheetViews>
  <sheetFormatPr baseColWidth="10" defaultRowHeight="15" x14ac:dyDescent="0.25"/>
  <cols>
    <col min="2" max="2" width="35.140625" customWidth="1"/>
    <col min="5" max="5" width="39.42578125" customWidth="1"/>
    <col min="12" max="12" width="16" customWidth="1"/>
    <col min="13" max="13" width="25.5703125" customWidth="1"/>
  </cols>
  <sheetData>
    <row r="2" spans="2:14" x14ac:dyDescent="0.25">
      <c r="B2" t="s">
        <v>31</v>
      </c>
      <c r="E2" t="s">
        <v>133</v>
      </c>
      <c r="H2" t="s">
        <v>214</v>
      </c>
      <c r="J2" t="s">
        <v>133</v>
      </c>
      <c r="K2" t="s">
        <v>132</v>
      </c>
      <c r="L2" t="s">
        <v>222</v>
      </c>
      <c r="M2" t="s">
        <v>215</v>
      </c>
      <c r="N2" t="s">
        <v>223</v>
      </c>
    </row>
    <row r="3" spans="2:14" x14ac:dyDescent="0.25">
      <c r="B3" t="s">
        <v>32</v>
      </c>
      <c r="E3" t="s">
        <v>132</v>
      </c>
      <c r="H3" t="s">
        <v>215</v>
      </c>
      <c r="J3" t="s">
        <v>220</v>
      </c>
      <c r="K3" t="s">
        <v>220</v>
      </c>
      <c r="L3" t="s">
        <v>220</v>
      </c>
      <c r="M3" t="s">
        <v>217</v>
      </c>
      <c r="N3" t="s">
        <v>220</v>
      </c>
    </row>
    <row r="4" spans="2:14" x14ac:dyDescent="0.25">
      <c r="B4" t="s">
        <v>137</v>
      </c>
      <c r="E4" t="s">
        <v>134</v>
      </c>
      <c r="M4" t="s">
        <v>218</v>
      </c>
    </row>
    <row r="5" spans="2:14" ht="30" x14ac:dyDescent="0.25">
      <c r="B5" t="s">
        <v>136</v>
      </c>
      <c r="E5" t="s">
        <v>216</v>
      </c>
      <c r="M5" s="140" t="s">
        <v>219</v>
      </c>
    </row>
    <row r="6" spans="2:14" x14ac:dyDescent="0.25">
      <c r="F6" t="str" cm="1">
        <f t="array" aca="1" ref="F6:F11" ca="1">+IF('Mapa final'!$B10:$B15="Daño fiscal",INDIRECT(Efecto_fiscal),"NO APLICA")</f>
        <v>NO APLICA</v>
      </c>
    </row>
    <row r="7" spans="2:14" x14ac:dyDescent="0.25">
      <c r="F7" t="str">
        <f ca="1"/>
        <v>NO APLICA</v>
      </c>
    </row>
    <row r="8" spans="2:14" x14ac:dyDescent="0.25">
      <c r="B8" t="s">
        <v>86</v>
      </c>
      <c r="E8" t="s">
        <v>217</v>
      </c>
      <c r="F8" t="str">
        <f ca="1"/>
        <v>NO APLICA</v>
      </c>
    </row>
    <row r="9" spans="2:14" x14ac:dyDescent="0.25">
      <c r="B9" t="s">
        <v>40</v>
      </c>
      <c r="E9" t="s">
        <v>218</v>
      </c>
      <c r="F9" t="str">
        <f ca="1"/>
        <v>NO APLICA</v>
      </c>
    </row>
    <row r="10" spans="2:14" x14ac:dyDescent="0.25">
      <c r="B10" t="s">
        <v>41</v>
      </c>
      <c r="E10" t="s">
        <v>219</v>
      </c>
      <c r="F10" t="str">
        <f ca="1"/>
        <v>NO APLICA</v>
      </c>
    </row>
    <row r="11" spans="2:14" x14ac:dyDescent="0.25">
      <c r="F11" t="str">
        <f ca="1"/>
        <v>NO APLICA</v>
      </c>
    </row>
    <row r="13" spans="2:14" x14ac:dyDescent="0.25">
      <c r="B13" t="s">
        <v>129</v>
      </c>
    </row>
    <row r="14" spans="2:14" x14ac:dyDescent="0.25">
      <c r="B14" t="s">
        <v>123</v>
      </c>
    </row>
    <row r="15" spans="2:14" x14ac:dyDescent="0.25">
      <c r="B15" t="s">
        <v>126</v>
      </c>
    </row>
    <row r="16" spans="2:14"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Corrupción</vt:lpstr>
      <vt:lpstr>Económico</vt:lpstr>
      <vt:lpstr>Económico_Reputacional</vt:lpstr>
      <vt:lpstr>Fiscal</vt:lpstr>
      <vt:lpstr>Impa_econo</vt:lpstr>
      <vt:lpstr>Reputacional</vt:lpstr>
      <vt:lpstr>Tipo_Riesgo</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2020-05-13T01:12:22Z</cp:lastPrinted>
  <dcterms:created xsi:type="dcterms:W3CDTF">2020-03-24T23:12:47Z</dcterms:created>
  <dcterms:modified xsi:type="dcterms:W3CDTF">2024-09-23T16:20:17Z</dcterms:modified>
</cp:coreProperties>
</file>