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54" i="1"/>
  <c r="K33" i="1"/>
  <c r="K45" i="1"/>
  <c r="K26" i="1"/>
  <c r="K51" i="1"/>
  <c r="K24" i="1"/>
  <c r="K31" i="1"/>
  <c r="K65" i="1"/>
  <c r="K60" i="1"/>
  <c r="K61" i="1"/>
  <c r="K42" i="1"/>
  <c r="K62" i="1"/>
  <c r="K63" i="1"/>
  <c r="K67" i="1"/>
  <c r="K25" i="1"/>
  <c r="K49" i="1"/>
  <c r="K66" i="1"/>
  <c r="K41" i="1"/>
  <c r="K32" i="1"/>
  <c r="K48" i="1"/>
  <c r="K37" i="1"/>
  <c r="K47" i="1"/>
  <c r="K36" i="1"/>
  <c r="K59" i="1"/>
  <c r="K68" i="1"/>
  <c r="K69" i="1"/>
  <c r="K44" i="1"/>
  <c r="K39" i="1"/>
  <c r="K27" i="1"/>
  <c r="K18" i="1"/>
  <c r="K21" i="1"/>
  <c r="K53" i="1"/>
  <c r="K55" i="1"/>
  <c r="K17" i="1"/>
  <c r="K38" i="1"/>
  <c r="K43" i="1"/>
  <c r="K57" i="1"/>
  <c r="K30" i="1"/>
  <c r="K23" i="1"/>
  <c r="K29" i="1"/>
  <c r="K56" i="1"/>
  <c r="K19" i="1"/>
  <c r="K50" i="1"/>
  <c r="K20" i="1"/>
  <c r="K35" i="1"/>
  <c r="F221" i="13" l="1"/>
  <c r="F211" i="13"/>
  <c r="F212" i="13"/>
  <c r="F213" i="13"/>
  <c r="F214" i="13"/>
  <c r="F215" i="13"/>
  <c r="F216" i="13"/>
  <c r="F217" i="13"/>
  <c r="F218" i="13"/>
  <c r="F219" i="13"/>
  <c r="F220" i="13"/>
  <c r="F210" i="13"/>
  <c r="K13" i="1"/>
  <c r="K15" i="1"/>
  <c r="B221" i="13" a="1"/>
  <c r="K14" i="1"/>
  <c r="K11"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16" i="1"/>
  <c r="L16" i="1" s="1"/>
  <c r="K22" i="1"/>
  <c r="L22" i="1" s="1"/>
  <c r="K52" i="1"/>
  <c r="L52" i="1" s="1"/>
  <c r="K46" i="1"/>
  <c r="L46" i="1" s="1"/>
  <c r="K34" i="1"/>
  <c r="L34" i="1" s="1"/>
  <c r="K64" i="1"/>
  <c r="L64" i="1" s="1"/>
  <c r="K58" i="1"/>
  <c r="L58" i="1" s="1"/>
  <c r="Z42" i="18" l="1"/>
  <c r="T18" i="18"/>
  <c r="AF34" i="18"/>
  <c r="AF42" i="18"/>
  <c r="Z34" i="18"/>
  <c r="N42" i="18"/>
  <c r="Z18" i="18"/>
  <c r="AL10" i="18"/>
  <c r="AL26" i="18"/>
  <c r="AF26" i="18"/>
  <c r="Z10" i="18"/>
  <c r="N18" i="18"/>
  <c r="T26" i="18"/>
  <c r="T34" i="18"/>
  <c r="N26" i="18"/>
  <c r="AL18" i="18"/>
  <c r="N10" i="18"/>
  <c r="T42" i="18"/>
  <c r="AF18" i="18"/>
  <c r="Z26" i="18"/>
  <c r="AL34" i="18"/>
  <c r="T10" i="18"/>
  <c r="N58" i="1"/>
  <c r="AL42" i="18"/>
  <c r="N34" i="18"/>
  <c r="M58" i="1"/>
  <c r="AF10" i="18"/>
  <c r="L16" i="18"/>
  <c r="R24" i="18"/>
  <c r="L8" i="18"/>
  <c r="R32" i="18"/>
  <c r="AJ16" i="18"/>
  <c r="R8" i="18"/>
  <c r="AJ8" i="18"/>
  <c r="AJ32" i="18"/>
  <c r="AD8" i="18"/>
  <c r="X40" i="18"/>
  <c r="AJ24" i="18"/>
  <c r="N34" i="1"/>
  <c r="L32" i="18"/>
  <c r="X8" i="18"/>
  <c r="M34" i="1"/>
  <c r="R40" i="18"/>
  <c r="L40" i="18"/>
  <c r="X16" i="18"/>
  <c r="AD16" i="18"/>
  <c r="X32" i="18"/>
  <c r="AJ40" i="18"/>
  <c r="R16" i="18"/>
  <c r="AD40" i="18"/>
  <c r="AD32" i="18"/>
  <c r="AD24" i="18"/>
  <c r="L24" i="18"/>
  <c r="X24" i="18"/>
  <c r="X42" i="18"/>
  <c r="AD34" i="18"/>
  <c r="AD10" i="18"/>
  <c r="L42" i="18"/>
  <c r="L26" i="18"/>
  <c r="X18" i="18"/>
  <c r="L10" i="18"/>
  <c r="R18" i="18"/>
  <c r="AJ10" i="18"/>
  <c r="AD42" i="18"/>
  <c r="AJ34" i="18"/>
  <c r="R26" i="18"/>
  <c r="M52" i="1"/>
  <c r="L18" i="18"/>
  <c r="R34" i="18"/>
  <c r="L34" i="18"/>
  <c r="AJ42" i="18"/>
  <c r="R10" i="18"/>
  <c r="AD18" i="18"/>
  <c r="R42" i="18"/>
  <c r="X26" i="18"/>
  <c r="AJ18" i="18"/>
  <c r="N52" i="1"/>
  <c r="AJ26" i="18"/>
  <c r="X34" i="18"/>
  <c r="AD26" i="18"/>
  <c r="X10" i="18"/>
  <c r="T14" i="18"/>
  <c r="AL38" i="18"/>
  <c r="N14" i="18"/>
  <c r="Z30" i="18"/>
  <c r="T38" i="18"/>
  <c r="T22" i="18"/>
  <c r="AL14" i="18"/>
  <c r="N22" i="18"/>
  <c r="AF22" i="18"/>
  <c r="N6" i="18"/>
  <c r="AF6" i="18"/>
  <c r="AF38" i="18"/>
  <c r="N38" i="18"/>
  <c r="AL30" i="18"/>
  <c r="AL22" i="18"/>
  <c r="T6" i="18"/>
  <c r="N22" i="1"/>
  <c r="AF30" i="18"/>
  <c r="Z22" i="18"/>
  <c r="T30" i="18"/>
  <c r="AL6" i="18"/>
  <c r="Z14" i="18"/>
  <c r="Z38" i="18"/>
  <c r="N30" i="18"/>
  <c r="Z6" i="18"/>
  <c r="M22" i="1"/>
  <c r="AB22" i="1" s="1"/>
  <c r="AA22" i="1" s="1"/>
  <c r="AF14" i="18"/>
  <c r="X6" i="18"/>
  <c r="AJ30" i="18"/>
  <c r="R22" i="18"/>
  <c r="L6" i="18"/>
  <c r="R30" i="18"/>
  <c r="X22" i="18"/>
  <c r="AD38" i="18"/>
  <c r="N16" i="1"/>
  <c r="AD22" i="18"/>
  <c r="M16" i="1"/>
  <c r="AB16" i="1" s="1"/>
  <c r="AA16" i="1" s="1"/>
  <c r="L30" i="18"/>
  <c r="R38" i="18"/>
  <c r="AJ14" i="18"/>
  <c r="R14" i="18"/>
  <c r="L22" i="18"/>
  <c r="AD30" i="18"/>
  <c r="AJ38" i="18"/>
  <c r="AJ22" i="18"/>
  <c r="X30" i="18"/>
  <c r="X14" i="18"/>
  <c r="AJ6" i="18"/>
  <c r="L38" i="18"/>
  <c r="AD14" i="18"/>
  <c r="L14" i="18"/>
  <c r="AD6" i="18"/>
  <c r="X38" i="18"/>
  <c r="R6" i="18"/>
  <c r="M46" i="1"/>
  <c r="J42" i="18"/>
  <c r="P34" i="18"/>
  <c r="AB18" i="18"/>
  <c r="AH34" i="18"/>
  <c r="P10" i="18"/>
  <c r="V34" i="18"/>
  <c r="P42" i="18"/>
  <c r="AH42" i="18"/>
  <c r="AB26" i="18"/>
  <c r="AH26" i="18"/>
  <c r="V26" i="18"/>
  <c r="AH18" i="18"/>
  <c r="J34" i="18"/>
  <c r="J10" i="18"/>
  <c r="AB42" i="18"/>
  <c r="P26" i="18"/>
  <c r="AB10" i="18"/>
  <c r="J18" i="18"/>
  <c r="N46" i="1"/>
  <c r="AH10" i="18"/>
  <c r="V10" i="18"/>
  <c r="J26" i="18"/>
  <c r="P18" i="18"/>
  <c r="V18" i="18"/>
  <c r="AB34" i="18"/>
  <c r="V42" i="18"/>
  <c r="J40" i="18"/>
  <c r="AB40" i="18"/>
  <c r="AH32" i="18"/>
  <c r="AB24" i="18"/>
  <c r="AH40" i="18"/>
  <c r="J16" i="18"/>
  <c r="P32" i="18"/>
  <c r="V24" i="18"/>
  <c r="P24" i="18"/>
  <c r="V40" i="18"/>
  <c r="P16" i="18"/>
  <c r="P40" i="18"/>
  <c r="V32" i="18"/>
  <c r="V8" i="18"/>
  <c r="AH24" i="18"/>
  <c r="AH8" i="18"/>
  <c r="J8" i="18"/>
  <c r="AB32" i="18"/>
  <c r="AB8" i="18"/>
  <c r="J24" i="18"/>
  <c r="J32" i="18"/>
  <c r="P8" i="18"/>
  <c r="AB16" i="18"/>
  <c r="AH16" i="18"/>
  <c r="V16" i="18"/>
  <c r="N28" i="1"/>
  <c r="M28" i="1"/>
  <c r="P14" i="18"/>
  <c r="V22" i="18"/>
  <c r="V14" i="18"/>
  <c r="N10" i="1"/>
  <c r="AH14" i="18"/>
  <c r="AH38" i="18"/>
  <c r="J14" i="18"/>
  <c r="J22" i="18"/>
  <c r="AB22" i="18"/>
  <c r="V30" i="18"/>
  <c r="AB14" i="18"/>
  <c r="AH30" i="18"/>
  <c r="J30" i="18"/>
  <c r="P38" i="18"/>
  <c r="AB6" i="18"/>
  <c r="J38" i="18"/>
  <c r="AH6" i="18"/>
  <c r="V6" i="18"/>
  <c r="J6" i="18"/>
  <c r="P30" i="18"/>
  <c r="AH22" i="18"/>
  <c r="P6" i="18"/>
  <c r="V38" i="18"/>
  <c r="AB38" i="18"/>
  <c r="P22" i="18"/>
  <c r="AB30" i="18"/>
  <c r="M10" i="1"/>
  <c r="AB10" i="1" s="1"/>
  <c r="AH12" i="18"/>
  <c r="J20" i="18"/>
  <c r="J44" i="18"/>
  <c r="AB28" i="18"/>
  <c r="P28" i="18"/>
  <c r="N64" i="1"/>
  <c r="P12" i="18"/>
  <c r="J12" i="18"/>
  <c r="AH20" i="18"/>
  <c r="P44" i="18"/>
  <c r="AB12" i="18"/>
  <c r="P36" i="18"/>
  <c r="AB44" i="18"/>
  <c r="V44" i="18"/>
  <c r="V12" i="18"/>
  <c r="V28" i="18"/>
  <c r="AH44" i="18"/>
  <c r="J36" i="18"/>
  <c r="AH28" i="18"/>
  <c r="V36" i="18"/>
  <c r="V20" i="18"/>
  <c r="AB36" i="18"/>
  <c r="M64" i="1"/>
  <c r="AB64" i="1" s="1"/>
  <c r="AA64" i="1" s="1"/>
  <c r="AB20" i="18"/>
  <c r="J28" i="18"/>
  <c r="P20" i="18"/>
  <c r="AH36" i="18"/>
  <c r="AF24" i="18"/>
  <c r="AF32" i="18"/>
  <c r="T40" i="18"/>
  <c r="N40" i="18"/>
  <c r="Z40" i="18"/>
  <c r="AL8" i="18"/>
  <c r="AF8" i="18"/>
  <c r="T24" i="18"/>
  <c r="AL24" i="18"/>
  <c r="AL16" i="18"/>
  <c r="AL40" i="18"/>
  <c r="N8" i="18"/>
  <c r="Z16" i="18"/>
  <c r="Z24" i="18"/>
  <c r="M40" i="1"/>
  <c r="Z32" i="18"/>
  <c r="N32" i="18"/>
  <c r="N16" i="18"/>
  <c r="Z8" i="18"/>
  <c r="AF40" i="18"/>
  <c r="AL32" i="18"/>
  <c r="N24" i="18"/>
  <c r="T32" i="18"/>
  <c r="T16" i="18"/>
  <c r="AF16" i="18"/>
  <c r="T8" i="18"/>
  <c r="N40" i="1"/>
  <c r="AA10" i="1" l="1"/>
  <c r="AB11" i="1"/>
  <c r="AA11" i="1" s="1"/>
  <c r="AB17" i="1"/>
  <c r="AA17" i="1" s="1"/>
  <c r="V25" i="19"/>
  <c r="V45" i="19"/>
  <c r="J15" i="19"/>
  <c r="AB45" i="19"/>
  <c r="AH25" i="19"/>
  <c r="AH55" i="19"/>
  <c r="AB15" i="19"/>
  <c r="P15" i="19"/>
  <c r="P45" i="19"/>
  <c r="V15" i="19"/>
  <c r="J35" i="19"/>
  <c r="AH45" i="19"/>
  <c r="J25" i="19"/>
  <c r="AB35" i="19"/>
  <c r="AH15" i="19"/>
  <c r="V35" i="19"/>
  <c r="J55" i="19"/>
  <c r="AB55" i="19"/>
  <c r="AC64" i="1"/>
  <c r="AB25" i="19"/>
  <c r="J45" i="19"/>
  <c r="P25" i="19"/>
  <c r="P35" i="19"/>
  <c r="AH35" i="19"/>
  <c r="V55" i="19"/>
  <c r="P55" i="19"/>
  <c r="V47" i="19"/>
  <c r="AB7" i="19"/>
  <c r="AH17" i="19"/>
  <c r="J37" i="19"/>
  <c r="P17" i="19"/>
  <c r="P7" i="19"/>
  <c r="J7" i="19"/>
  <c r="J47" i="19"/>
  <c r="AC16" i="1"/>
  <c r="V17" i="19"/>
  <c r="AH27" i="19"/>
  <c r="V27" i="19"/>
  <c r="AB37" i="19"/>
  <c r="AH47" i="19"/>
  <c r="AB47" i="19"/>
  <c r="AH7" i="19"/>
  <c r="J27" i="19"/>
  <c r="P37" i="19"/>
  <c r="AB27" i="19"/>
  <c r="P47" i="19"/>
  <c r="V7" i="19"/>
  <c r="AB17" i="19"/>
  <c r="AH37" i="19"/>
  <c r="J17" i="19"/>
  <c r="P27" i="19"/>
  <c r="V37" i="19"/>
  <c r="J28" i="19"/>
  <c r="V28" i="19"/>
  <c r="P28" i="19"/>
  <c r="V38" i="19"/>
  <c r="AB38" i="19"/>
  <c r="P8" i="19"/>
  <c r="J8" i="19"/>
  <c r="AC22" i="1"/>
  <c r="AH38" i="19"/>
  <c r="AB18" i="19"/>
  <c r="J18" i="19"/>
  <c r="AH8" i="19"/>
  <c r="V8" i="19"/>
  <c r="AH18" i="19"/>
  <c r="J38" i="19"/>
  <c r="P18" i="19"/>
  <c r="AB8" i="19"/>
  <c r="J48" i="19"/>
  <c r="P48" i="19"/>
  <c r="AB28" i="19"/>
  <c r="AH28" i="19"/>
  <c r="V48" i="19"/>
  <c r="P38" i="19"/>
  <c r="AB48" i="19"/>
  <c r="AH48" i="19"/>
  <c r="V18" i="19"/>
  <c r="AB12" i="1" l="1"/>
  <c r="AA12" i="1" s="1"/>
  <c r="AJ46" i="19" s="1"/>
  <c r="W37" i="19"/>
  <c r="AI47" i="19"/>
  <c r="K37" i="19"/>
  <c r="K7" i="19"/>
  <c r="AI7" i="19"/>
  <c r="Q27" i="19"/>
  <c r="AC7" i="19"/>
  <c r="Q17" i="19"/>
  <c r="W17" i="19"/>
  <c r="AC27" i="19"/>
  <c r="W47" i="19"/>
  <c r="W27" i="19"/>
  <c r="AC47" i="19"/>
  <c r="Q37" i="19"/>
  <c r="Q47" i="19"/>
  <c r="AC37" i="19"/>
  <c r="AI27" i="19"/>
  <c r="W7" i="19"/>
  <c r="AI37" i="19"/>
  <c r="Q7" i="19"/>
  <c r="AI17" i="19"/>
  <c r="AC17" i="1"/>
  <c r="K27" i="19"/>
  <c r="K47" i="19"/>
  <c r="AC17" i="19"/>
  <c r="K17" i="19"/>
  <c r="W36" i="19"/>
  <c r="AC36" i="19"/>
  <c r="K16" i="19"/>
  <c r="K46" i="19"/>
  <c r="AI46" i="19"/>
  <c r="AC46" i="19"/>
  <c r="Q46" i="19"/>
  <c r="AC26" i="19"/>
  <c r="AC16" i="19"/>
  <c r="W16" i="19"/>
  <c r="K36" i="19"/>
  <c r="Q26" i="19"/>
  <c r="AC11" i="1"/>
  <c r="Q6" i="19"/>
  <c r="K6" i="19"/>
  <c r="Q16" i="19"/>
  <c r="AI6" i="19"/>
  <c r="AI16" i="19"/>
  <c r="Q36" i="19"/>
  <c r="W6" i="19"/>
  <c r="W26" i="19"/>
  <c r="K26" i="19"/>
  <c r="W46" i="19"/>
  <c r="AI36" i="19"/>
  <c r="AI26" i="19"/>
  <c r="AC6" i="19"/>
  <c r="P16" i="19"/>
  <c r="P6" i="19"/>
  <c r="AH6" i="19"/>
  <c r="V46" i="19"/>
  <c r="AH46" i="19"/>
  <c r="AB46" i="19"/>
  <c r="J6" i="19"/>
  <c r="P46" i="19"/>
  <c r="AB26" i="19"/>
  <c r="AB16" i="19"/>
  <c r="AH26" i="19"/>
  <c r="J16" i="19"/>
  <c r="P36" i="19"/>
  <c r="V26" i="19"/>
  <c r="AH36" i="19"/>
  <c r="P26" i="19"/>
  <c r="V16" i="19"/>
  <c r="V36" i="19"/>
  <c r="AC10" i="1"/>
  <c r="AB36" i="19"/>
  <c r="AB6" i="19"/>
  <c r="J36" i="19"/>
  <c r="AH16" i="19"/>
  <c r="J26" i="19"/>
  <c r="V6" i="19"/>
  <c r="J46" i="19"/>
  <c r="AD16" i="19" l="1"/>
  <c r="L6" i="19"/>
  <c r="AD36" i="19"/>
  <c r="L26" i="19"/>
  <c r="R46" i="19"/>
  <c r="AJ26" i="19"/>
  <c r="X16" i="19"/>
  <c r="X6" i="19"/>
  <c r="R6" i="19"/>
  <c r="R36" i="19"/>
  <c r="L16" i="19"/>
  <c r="AD6" i="19"/>
  <c r="AJ16" i="19"/>
  <c r="AJ36" i="19"/>
  <c r="L46" i="19"/>
  <c r="X46" i="19"/>
  <c r="AD46" i="19"/>
  <c r="R16" i="19"/>
  <c r="AD26" i="19"/>
  <c r="X26" i="19"/>
  <c r="AC12" i="1"/>
  <c r="AJ6" i="19"/>
  <c r="X36" i="19"/>
  <c r="R26" i="19"/>
  <c r="L3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<sst xmlns="http://schemas.openxmlformats.org/spreadsheetml/2006/main" count="364" uniqueCount="236">
  <si>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</si>
  <si>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</si>
  <si>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</si>
  <si>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</si>
  <si>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</si>
  <si>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</si>
  <si>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</si>
  <si>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</si>
  <si>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</si>
  <si>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</si>
  <si>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</si>
  <si>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</si>
  <si>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</si>
  <si>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</si>
  <si>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</si>
  <si>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</si>
  <si>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</si>
  <si>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</si>
  <si>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</si>
  <si>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</si>
  <si>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</si>
  <si>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</si>
  <si>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</si>
  <si>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</si>
  <si>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</si>
  <si>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</si>
  <si>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</si>
  <si>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</si>
  <si>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</si>
  <si>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</si>
  <si>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</si>
  <si>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</si>
  <si>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</si>
  <si>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</si>
  <si>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</si>
  <si>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</si>
  <si>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</si>
  <si>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</si>
  <si>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</si>
  <si>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</si>
  <si>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</si>
  <si>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</si>
  <si>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</si>
  <si>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</si>
  <si>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</si>
  <si>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</si>
  <si>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</si>
  <si>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</si>
  <si>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</si>
  <si>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</si>
  <si>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</si>
  <si>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</si>
  <si>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</si>
  <si>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</si>
  <si>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</si>
  <si>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</si>
  <si>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</si>
  <si>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</si>
  <si>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</si>
  <si>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</si>
  <si>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</si>
  <si>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</si>
  <si>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</si>
  <si>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</si>
  <si>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</si>
  <si>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</si>
  <si>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</si>
  <si>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</si>
  <si>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</si>
  <si>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</si>
  <si>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</si>
  <si>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</si>
  <si>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</si>
  <si>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</si>
  <si>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</si>
  <si>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</si>
  <si>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</si>
  <si>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</si>
  <si>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</si>
  <si>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</si>
  <si>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</si>
  <si>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</si>
  <si>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</si>
  <si>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</si>
  <si>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</si>
  <si>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</si>
  <si>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</si>
  <si>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</si>
  <si>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</si>
  <si>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</si>
  <si>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</si>
  <si>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</si>
  <si>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</si>
  <si>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</si>
  <si>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</si>
  <si>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</si>
  <si>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</si>
  <si>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</si>
  <si>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</si>
  <si>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</si>
  <si>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</si>
  <si>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</si>
  <si>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</si>
  <si>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</si>
  <si>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</si>
  <si>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</si>
  <si>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</si>
  <si>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</si>
  <si>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</si>
  <si>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</si>
  <si>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</si>
  <si>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</si>
  <si>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</si>
  <si>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</si>
  <si>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</si>
  <si>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</si>
  <si>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</si>
  <si>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</si>
  <si>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</si>
  <si>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</si>
  <si>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</si>
  <si>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</si>
  <si>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</si>
  <si>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</si>
  <si>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</si>
  <si>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</si>
  <si>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</si>
  <si>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</si>
  <si>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</si>
  <si>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</si>
  <si>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</si>
  <si>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</si>
  <si>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</si>
  <si>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</si>
  <si>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</si>
  <si>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</si>
  <si>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</si>
  <si>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</si>
  <si>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</si>
  <si>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</si>
  <si>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</si>
  <si>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</si>
  <si>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</si>
  <si>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</si>
  <si>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</si>
  <si>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</si>
  <si>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</si>
  <si>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</si>
  <si>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</si>
  <si>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</si>
  <si>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</si>
  <si>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</si>
  <si>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</si>
  <si>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</si>
  <si>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</si>
  <si>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</si>
  <si>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</si>
  <si>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</si>
  <si>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</si>
  <si>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</si>
  <si>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</si>
  <si>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</si>
  <si>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</si>
  <si>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</si>
  <si>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</si>
  <si>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</si>
  <si>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</si>
  <si>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</si>
  <si>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</si>
  <si>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</si>
  <si>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</si>
  <si>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</si>
  <si>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</si>
  <si>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</si>
  <si>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</si>
  <si>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</si>
  <si>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</si>
  <si>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</si>
  <si>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</si>
  <si>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</si>
  <si>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</si>
  <si>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</si>
  <si>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</si>
  <si>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</si>
  <si>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</si>
  <si>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</si>
  <si>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</si>
  <si>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</si>
  <si>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</si>
  <si>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</si>
  <si>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</si>
  <si>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</si>
  <si>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</si>
  <si>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</si>
  <si>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</si>
  <si>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</si>
  <si>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</si>
  <si>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</si>
  <si>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</si>
  <si>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</si>
  <si>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</si>
  <si>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</si>
  <si>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</si>
  <si>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</si>
  <si>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</si>
  <si>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</si>
  <si>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</si>
  <si>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</si>
  <si>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</si>
  <si>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</si>
  <si>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</si>
  <si>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</si>
  <si>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</si>
  <si>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</si>
  <si>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Bienestar Universitario </t>
  </si>
  <si>
    <t xml:space="preserve">Promover espacios orientados al desarrollo del ser humano a través del fomento de actividades físicas, psicológicas, espirituales, socioeconómicas, deportivas y culturales  propendiendo por la prestación de un excelente servicio, potencializando en la comunidad educativa el ser, el estar y el pertenecer. </t>
  </si>
  <si>
    <t xml:space="preserve">
Posibilidad de que se autoricen estimulos educativos sin que el aspirante cumpla con los requisitos. 
</t>
  </si>
  <si>
    <t>Lider de Bienestar Universitario</t>
  </si>
  <si>
    <t>Proceso Bienestar Universitario</t>
  </si>
  <si>
    <t>1. Debido a que no se cuenta con los permisos requeridos en la plataforma GUIA para verificar la información confiable de los estudiantes. 
2. Estudio para la minimización de los trámites para la solicitud de estímulos(Formatos Institucionales)</t>
  </si>
  <si>
    <t>Errores en la aprobación de estimulos porque no se puede acceder a la información completa del estudiante en la plataforma y el diligenciamiento de los formatos exigidos por la Institución.</t>
  </si>
  <si>
    <t>Contar con los permisos requeridos para verificación de la información.</t>
  </si>
  <si>
    <t xml:space="preserve">Solicitar permisos en la plataforma GUIA para el verificación y seguimiento de información para la aprobación de estímulos académicos a los estudiantes.   </t>
  </si>
  <si>
    <t>Simplificación de los formatos institucionales para la solicitud de los estímulos educativos</t>
  </si>
  <si>
    <t>Gestionar estudio de los formatos para optimización y minimización en su diligenciamiento para la solicitud de los estímulos educativos</t>
  </si>
  <si>
    <t>La no utilización de la plataforma GUIA para el desarrollo de las electivas con lleva a la conformidad del procedimiento de la Planeación y Ejecución de las Electivas</t>
  </si>
  <si>
    <t xml:space="preserve">1. Cambios de lugares de trabajo de los funcionarios capacitados para el manejo de la plataforma GUIA, para el tema de las electivas.                    2. El no funcionamiento de la aplicativo para la inscripción, matrículas y notas de las electivas
</t>
  </si>
  <si>
    <t>Solicitar la utilización del aplicativo para la inscripción, matrícula y notas de la electiva.</t>
  </si>
  <si>
    <t>Seguimiento para la implementación del aplicativo para la inscripción, matrícula y notas de la electiva.</t>
  </si>
  <si>
    <t>Seguimiento y control del funcionamiento del aplicativo de la plataforma GUIA a los funcionarios de Bienestar, docentes y estudiantes.</t>
  </si>
  <si>
    <t>Fallas en el uso de la plataforma GUIA por parte de la comunidad acdémica para la ejecución del programa de electivas</t>
  </si>
  <si>
    <t xml:space="preserve">Capacitar y asesorar a funcionarios de Bienestar Universitario, docentes y estudiantes para la utlización de la plataforma GUIA en el procedimiento de electivas. </t>
  </si>
  <si>
    <t>Se evidencia aprobación de estimulos educativos: Generación E, Matrícula cero Gobieno Nacional y Gobernación y estimulos Institucionales todos con la verificación de cumplimientos de requisitos por parte del equipo de trabajo de Bienestar Univesitario para los matriculados en el semestre A y B de 2024, se evidencia informes de trazabilidad entre los reportes del MEN y la Institución para determinar la cantidad de estudiantes que tienen derechos a los estimilos educativos del programa de gratuidad delGobierno nacional</t>
  </si>
  <si>
    <t>Se evidencia simplificación de los formatos para los estimulos externos (Generación E, matrícula cero Gobierno Nacional y Gobernación) los mismos se encuentran publicados en la página web de la Institución, el estudiante escanea y carga los documentos en la plataforma, todo se realiza virtual, referente a los estimulos Insticionales no diligencian ningun formato lo hacen directamente en la plataforma con verificación del equipo de trabajo de Bienestar Universitario, para los estímulo del programa de gratuidad del Gobierno nacional se suprimio el formato del pagaré</t>
  </si>
  <si>
    <t>Se evidencia modulo de inscripción de electivas en la plataforma GUIA, la ejecución se evidencio el proceso de inscripción de los estudiantes para el semestre A  y B de 2024,</t>
  </si>
  <si>
    <t>Se evidencia jornada de inducción a los docentes de planta, ocasionales y catedra en el uso y manejo de la plataforma Guia en los meses de enero y febrero y julio y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</si>
</sst>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3"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U34" zoomScaleNormal="100" workbookViewId="0">
      <selection activeCell="AI35" sqref="AI35"/>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214</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215</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218</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132</v>
      </c>
      <c r="C10" s="179" t="s">
        <v>220</v>
      </c>
      <c r="D10" s="179" t="s">
        <v>219</v>
      </c>
      <c r="E10" s="191" t="s">
        <v>216</v>
      </c>
      <c r="F10" s="179" t="s">
        <v>123</v>
      </c>
      <c r="G10" s="182">
        <v>2</v>
      </c>
      <c r="H10" s="185" t="str">
        <f>IF(G10&lt;=0,"",IF(G10&lt;=2,"Muy Baja",IF(G10&lt;=24,"Baja",IF(G10&lt;=500,"Media",IF(G10&lt;=5000,"Alta","Muy Alta")))))</f>
        <v>Muy Baja</v>
      </c>
      <c r="I10" s="197">
        <f>IF(H10="","",IF(H10="Muy Baja",0.2,IF(H10="Baja",0.4,IF(H10="Media",0.6,IF(H10="Alta",0.8,IF(H10="Muy Alta",1,))))))</f>
        <v>0.2</v>
      </c>
      <c r="J10" s="200" t="s">
        <v>155</v>
      </c>
      <c r="K10" s="197"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185"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7">
        <f ca="1">IF(L10="","",IF(L10="Leve",0.2,IF(L10="Menor",0.4,IF(L10="Moderado",0.6,IF(L10="Mayor",0.8,IF(L10="Catastrófico",1,))))))</f>
        <v>0.6</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221</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0.12</v>
      </c>
      <c r="Y10" s="131" t="str">
        <f>IFERROR(IF(X10="","",IF(X10&lt;=0.2,"Muy Baja",IF(X10&lt;=0.4,"Baja",IF(X10&lt;=0.6,"Media",IF(X10&lt;=0.8,"Alta","Muy Alta"))))),"")</f>
        <v>Muy Baja</v>
      </c>
      <c r="Z10" s="132">
        <f>+X10</f>
        <v>0.12</v>
      </c>
      <c r="AA10" s="131" t="str">
        <f ca="1">IFERROR(IF(AB10="","",IF(AB10&lt;=0.2,"Leve",IF(AB10&lt;=0.4,"Menor",IF(AB10&lt;=0.6,"Moderado",IF(AB10&lt;=0.8,"Mayor","Catastrófico"))))),"")</f>
        <v>Moderado</v>
      </c>
      <c r="AB10" s="132">
        <f ca="1">IFERROR(IF(Q10="Impacto",(M10-(+M10*T10)),IF(Q10="Probabilidad",M10,"")),"")</f>
        <v>0.6</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222</v>
      </c>
      <c r="AF10" s="136" t="s">
        <v>217</v>
      </c>
      <c r="AG10" s="137">
        <v>45657</v>
      </c>
      <c r="AH10" s="137">
        <v>45544</v>
      </c>
      <c r="AI10" s="135" t="s">
        <v>232</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5">
        <v>2</v>
      </c>
      <c r="P11" s="126" t="s">
        <v>223</v>
      </c>
      <c r="Q11" s="127" t="str">
        <f>IF(OR(R11="Preventivo",R11="Detectivo"),"Probabilidad",IF(R11="Correctivo","Impacto",""))</f>
        <v>Impacto</v>
      </c>
      <c r="R11" s="128" t="s">
        <v>16</v>
      </c>
      <c r="S11" s="128" t="s">
        <v>9</v>
      </c>
      <c r="T11" s="129" t="str">
        <f t="shared" ref="T11:T15" si="0">IF(AND(R11="Preventivo",S11="Automático"),"50%",IF(AND(R11="Preventivo",S11="Manual"),"40%",IF(AND(R11="Detectivo",S11="Automático"),"40%",IF(AND(R11="Detectivo",S11="Manual"),"30%",IF(AND(R11="Correctivo",S11="Automático"),"35%",IF(AND(R11="Correctivo",S11="Manual"),"25%",""))))))</f>
        <v>25%</v>
      </c>
      <c r="U11" s="128" t="s">
        <v>19</v>
      </c>
      <c r="V11" s="128" t="s">
        <v>22</v>
      </c>
      <c r="W11" s="128" t="s">
        <v>119</v>
      </c>
      <c r="X11" s="130">
        <f>IFERROR(IF(AND(Q10="Probabilidad",Q11="Probabilidad"),(Z10-(+Z10*T11)),IF(Q11="Probabilidad",(I10-(+I10*T11)),IF(Q11="Impacto",Z10,""))),"")</f>
        <v>0.12</v>
      </c>
      <c r="Y11" s="131" t="str">
        <f t="shared" ref="Y11:Y69" si="1">IFERROR(IF(X11="","",IF(X11&lt;=0.2,"Muy Baja",IF(X11&lt;=0.4,"Baja",IF(X11&lt;=0.6,"Media",IF(X11&lt;=0.8,"Alta","Muy Alta"))))),"")</f>
        <v>Muy Baja</v>
      </c>
      <c r="Z11" s="132">
        <f t="shared" ref="Z11:Z15" si="2">+X11</f>
        <v>0.12</v>
      </c>
      <c r="AA11" s="131" t="str">
        <f t="shared" ref="AA11:AA69" ca="1" si="3">IFERROR(IF(AB11="","",IF(AB11&lt;=0.2,"Leve",IF(AB11&lt;=0.4,"Menor",IF(AB11&lt;=0.6,"Moderado",IF(AB11&lt;=0.8,"Mayor","Catastrófico"))))),"")</f>
        <v>Moderado</v>
      </c>
      <c r="AB11" s="132">
        <f ca="1">IFERROR(IF(AND(Q10="Impacto",Q11="Impacto"),(AB10-(+AB10*T11)),IF(Q11="Impacto",($M$10-(+$M$10*T11)),IF(Q11="Probabilidad",AB10,""))),"")</f>
        <v>0.44999999999999996</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136</v>
      </c>
      <c r="AE11" s="135" t="s">
        <v>224</v>
      </c>
      <c r="AF11" s="136" t="s">
        <v>217</v>
      </c>
      <c r="AG11" s="137">
        <v>45657</v>
      </c>
      <c r="AH11" s="137">
        <v>45544</v>
      </c>
      <c r="AI11" s="135" t="s">
        <v>233</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132</v>
      </c>
      <c r="C16" s="179" t="s">
        <v>225</v>
      </c>
      <c r="D16" s="179" t="s">
        <v>226</v>
      </c>
      <c r="E16" s="191" t="s">
        <v>230</v>
      </c>
      <c r="F16" s="179" t="s">
        <v>123</v>
      </c>
      <c r="G16" s="182">
        <v>1</v>
      </c>
      <c r="H16" s="185" t="str">
        <f>IF(G16&lt;=0,"",IF(G16&lt;=2,"Muy Baja",IF(G16&lt;=24,"Baja",IF(G16&lt;=500,"Media",IF(G16&lt;=5000,"Alta","Muy Alta")))))</f>
        <v>Muy Baja</v>
      </c>
      <c r="I16" s="197">
        <f>IF(H16="","",IF(H16="Muy Baja",0.2,IF(H16="Baja",0.4,IF(H16="Media",0.6,IF(H16="Alta",0.8,IF(H16="Muy Alta",1,))))))</f>
        <v>0.2</v>
      </c>
      <c r="J16" s="200" t="s">
        <v>153</v>
      </c>
      <c r="K16" s="197"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18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5">
        <v>1</v>
      </c>
      <c r="P16" s="126" t="s">
        <v>228</v>
      </c>
      <c r="Q16" s="127" t="str">
        <f>IF(OR(R16="Preventivo",R16="Detectivo"),"Probabilidad",IF(R16="Correctivo","Impacto",""))</f>
        <v>Impacto</v>
      </c>
      <c r="R16" s="128" t="s">
        <v>16</v>
      </c>
      <c r="S16" s="128" t="s">
        <v>9</v>
      </c>
      <c r="T16" s="129" t="str">
        <f>IF(AND(R16="Preventivo",S16="Automático"),"50%",IF(AND(R16="Preventivo",S16="Manual"),"40%",IF(AND(R16="Detectivo",S16="Automático"),"40%",IF(AND(R16="Detectivo",S16="Manual"),"30%",IF(AND(R16="Correctivo",S16="Automático"),"35%",IF(AND(R16="Correctivo",S16="Manual"),"25%",""))))))</f>
        <v>25%</v>
      </c>
      <c r="U16" s="128" t="s">
        <v>19</v>
      </c>
      <c r="V16" s="128" t="s">
        <v>22</v>
      </c>
      <c r="W16" s="128" t="s">
        <v>119</v>
      </c>
      <c r="X16" s="130">
        <f>IFERROR(IF(Q16="Probabilidad",(I16-(+I16*T16)),IF(Q16="Impacto",I16,"")),"")</f>
        <v>0.2</v>
      </c>
      <c r="Y16" s="131" t="str">
        <f>IFERROR(IF(X16="","",IF(X16&lt;=0.2,"Muy Baja",IF(X16&lt;=0.4,"Baja",IF(X16&lt;=0.6,"Media",IF(X16&lt;=0.8,"Alta","Muy Alta"))))),"")</f>
        <v>Muy Baja</v>
      </c>
      <c r="Z16" s="132">
        <f>+X16</f>
        <v>0.2</v>
      </c>
      <c r="AA16" s="131" t="str">
        <f ca="1">IFERROR(IF(AB16="","",IF(AB16&lt;=0.2,"Leve",IF(AB16&lt;=0.4,"Menor",IF(AB16&lt;=0.6,"Moderado",IF(AB16&lt;=0.8,"Mayor","Catastrófico"))))),"")</f>
        <v>Leve</v>
      </c>
      <c r="AB16" s="132">
        <f ca="1">IFERROR(IF(Q16="Impacto",(M16-(+M16*T16)),IF(Q16="Probabilidad",M16,"")),"")</f>
        <v>0.15000000000000002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26" t="s">
        <v>227</v>
      </c>
      <c r="AF16" s="136" t="s">
        <v>217</v>
      </c>
      <c r="AG16" s="137">
        <v>45657</v>
      </c>
      <c r="AH16" s="137">
        <v>45544</v>
      </c>
      <c r="AI16" s="135" t="s">
        <v>234</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5">
        <v>2</v>
      </c>
      <c r="P17" s="126" t="s">
        <v>229</v>
      </c>
      <c r="Q17" s="127" t="str">
        <f>IF(OR(R17="Preventivo",R17="Detectivo"),"Probabilidad",IF(R17="Correctivo","Impacto",""))</f>
        <v>Impacto</v>
      </c>
      <c r="R17" s="128" t="s">
        <v>16</v>
      </c>
      <c r="S17" s="128" t="s">
        <v>9</v>
      </c>
      <c r="T17" s="129" t="str">
        <f t="shared" ref="T17:T21" si="8">IF(AND(R17="Preventivo",S17="Automático"),"50%",IF(AND(R17="Preventivo",S17="Manual"),"40%",IF(AND(R17="Detectivo",S17="Automático"),"40%",IF(AND(R17="Detectivo",S17="Manual"),"30%",IF(AND(R17="Correctivo",S17="Automático"),"35%",IF(AND(R17="Correctivo",S17="Manual"),"25%",""))))))</f>
        <v>25%</v>
      </c>
      <c r="U17" s="128" t="s">
        <v>19</v>
      </c>
      <c r="V17" s="128" t="s">
        <v>22</v>
      </c>
      <c r="W17" s="128" t="s">
        <v>119</v>
      </c>
      <c r="X17" s="130">
        <f>IFERROR(IF(AND(Q16="Probabilidad",Q17="Probabilidad"),(Z16-(+Z16*T17)),IF(Q17="Probabilidad",(I16-(+I16*T17)),IF(Q17="Impacto",Z16,""))),"")</f>
        <v>0.2</v>
      </c>
      <c r="Y17" s="131" t="str">
        <f t="shared" si="1"/>
        <v>Muy Baja</v>
      </c>
      <c r="Z17" s="132">
        <f t="shared" ref="Z17:Z21" si="9">+X17</f>
        <v>0.2</v>
      </c>
      <c r="AA17" s="131" t="str">
        <f t="shared" ca="1" si="3"/>
        <v>Moderado</v>
      </c>
      <c r="AB17" s="132">
        <f ca="1">IFERROR(IF(AND(Q16="Impacto",Q17="Impacto"),(AB10-(+AB10*T17)),IF(Q17="Impacto",($M$16-(+$M$16*T17)),IF(Q17="Probabilidad",AB10,""))),"")</f>
        <v>0.44999999999999996</v>
      </c>
      <c r="AC17" s="133"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4" t="s">
        <v>136</v>
      </c>
      <c r="AE17" s="126" t="s">
        <v>231</v>
      </c>
      <c r="AF17" s="136" t="s">
        <v>217</v>
      </c>
      <c r="AG17" s="137">
        <v>45657</v>
      </c>
      <c r="AH17" s="137">
        <v>45544</v>
      </c>
      <c r="AI17" s="135" t="s">
        <v>235</v>
      </c>
      <c r="AJ17" s="136"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c r="C22" s="179"/>
      <c r="D22" s="179"/>
      <c r="E22" s="191"/>
      <c r="F22" s="179"/>
      <c r="G22" s="182"/>
      <c r="H22" s="185" t="str">
        <f>IF(G22&lt;=0,"",IF(G22&lt;=2,"Muy Baja",IF(G22&lt;=24,"Baja",IF(G22&lt;=500,"Media",IF(G22&lt;=5000,"Alta","Muy Alta")))))</f>
        <v/>
      </c>
      <c r="I22" s="197" t="str">
        <f>IF(H22="","",IF(H22="Muy Baja",0.2,IF(H22="Baja",0.4,IF(H22="Media",0.6,IF(H22="Alta",0.8,IF(H22="Muy Alta",1,))))))</f>
        <v/>
      </c>
      <c r="J22" s="200"/>
      <c r="K22" s="197">
        <f ca="1">IF(NOT(ISERROR(MATCH(J22,'Tabla Impacto'!$B$221:$B$223,0))),'Tabla Impacto'!$F$223&amp;"Por favor no seleccionar los criterios de impacto(Afectación Económica o presupuestal y Pérdida Reputacional)",J22)</f>
        <v>0</v>
      </c>
      <c r="L22" s="185" t="str">
        <f ca="1">IF(OR(K22='Tabla Impacto'!$C$11,K22='Tabla Impacto'!$D$11),"Leve",IF(OR(K22='Tabla Impacto'!$C$12,K22='Tabla Impacto'!$D$12),"Menor",IF(OR(K22='Tabla Impacto'!$C$13,K22='Tabla Impacto'!$D$13),"Moderado",IF(OR(K22='Tabla Impacto'!$C$14,K22='Tabla Impacto'!$D$14),"Mayor",IF(OR(K22='Tabla Impacto'!$C$15,K22='Tabla Impacto'!$D$15),"Catastrófico","")))))</f>
        <v/>
      </c>
      <c r="M22" s="197" t="str">
        <f ca="1">IF(L22="","",IF(L22="Leve",0.2,IF(L22="Menor",0.4,IF(L22="Moderado",0.6,IF(L22="Mayor",0.8,IF(L22="Catastrófico",1,))))))</f>
        <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 ca="1">IF(AND('Mapa final'!$H$28="Muy Alta",'Mapa final'!$L$28="Leve"),CONCATENATE("R",'Mapa final'!$A$28),"")</f>
        <v/>
      </c>
      <c r="K8" s="267"/>
      <c r="L8" s="268" t="str">
        <f ca="1">IF(AND('Mapa final'!$H$34="Muy Alta",'Mapa final'!$L$34="Leve"),CONCATENATE("R",'Mapa final'!$A$34),"")</f>
        <v/>
      </c>
      <c r="M8" s="268"/>
      <c r="N8" s="268" t="str">
        <f ca="1">IF(AND('Mapa final'!$H$40="Muy Alta",'Mapa final'!$L$40="Leve"),CONCATENATE("R",'Mapa final'!$A$40),"")</f>
        <v/>
      </c>
      <c r="O8" s="269"/>
      <c r="P8" s="266" t="str">
        <f ca="1">IF(AND('Mapa final'!$H$28="Muy Alta",'Mapa final'!$L$28="Menor"),CONCATENATE("R",'Mapa final'!$A$28),"")</f>
        <v/>
      </c>
      <c r="Q8" s="267"/>
      <c r="R8" s="268" t="str">
        <f ca="1">IF(AND('Mapa final'!$H$34="Muy Alta",'Mapa final'!$L$34="Menor"),CONCATENATE("R",'Mapa final'!$A$34),"")</f>
        <v/>
      </c>
      <c r="S8" s="268"/>
      <c r="T8" s="268" t="str">
        <f ca="1">IF(AND('Mapa final'!$H$40="Muy Alta",'Mapa final'!$L$40="Menor"),CONCATENATE("R",'Mapa final'!$A$40),"")</f>
        <v/>
      </c>
      <c r="U8" s="269"/>
      <c r="V8" s="266" t="str">
        <f ca="1">IF(AND('Mapa final'!$H$28="Muy Alta",'Mapa final'!$L$28="Moderado"),CONCATENATE("R",'Mapa final'!$A$28),"")</f>
        <v/>
      </c>
      <c r="W8" s="267"/>
      <c r="X8" s="268" t="str">
        <f ca="1">IF(AND('Mapa final'!$H$34="Muy Alta",'Mapa final'!$L$34="Moderado"),CONCATENATE("R",'Mapa final'!$A$34),"")</f>
        <v/>
      </c>
      <c r="Y8" s="268"/>
      <c r="Z8" s="268" t="str">
        <f ca="1">IF(AND('Mapa final'!$H$40="Muy Alta",'Mapa final'!$L$40="Moderado"),CONCATENATE("R",'Mapa final'!$A$40),"")</f>
        <v/>
      </c>
      <c r="AA8" s="269"/>
      <c r="AB8" s="266" t="str">
        <f ca="1">IF(AND('Mapa final'!$H$28="Muy Alta",'Mapa final'!$L$28="Mayor"),CONCATENATE("R",'Mapa final'!$A$28),"")</f>
        <v/>
      </c>
      <c r="AC8" s="267"/>
      <c r="AD8" s="268" t="str">
        <f ca="1">IF(AND('Mapa final'!$H$34="Muy Alta",'Mapa final'!$L$34="Mayor"),CONCATENATE("R",'Mapa final'!$A$34),"")</f>
        <v/>
      </c>
      <c r="AE8" s="268"/>
      <c r="AF8" s="268" t="str">
        <f ca="1">IF(AND('Mapa final'!$H$40="Muy Alta",'Mapa final'!$L$40="Mayor"),CONCATENATE("R",'Mapa final'!$A$40),"")</f>
        <v/>
      </c>
      <c r="AG8" s="269"/>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 ca="1">IF(AND('Mapa final'!$H$46="Muy Alta",'Mapa final'!$L$46="Leve"),CONCATENATE("R",'Mapa final'!$A$46),"")</f>
        <v/>
      </c>
      <c r="K10" s="267"/>
      <c r="L10" s="268" t="str">
        <f ca="1">IF(AND('Mapa final'!$H$52="Muy Alta",'Mapa final'!$L$52="Leve"),CONCATENATE("R",'Mapa final'!$A$52),"")</f>
        <v/>
      </c>
      <c r="M10" s="268"/>
      <c r="N10" s="268" t="str">
        <f ca="1">IF(AND('Mapa final'!$H$58="Muy Alta",'Mapa final'!$L$58="Leve"),CONCATENATE("R",'Mapa final'!$A$58),"")</f>
        <v/>
      </c>
      <c r="O10" s="269"/>
      <c r="P10" s="266" t="str">
        <f ca="1">IF(AND('Mapa final'!$H$46="Muy Alta",'Mapa final'!$L$46="Menor"),CONCATENATE("R",'Mapa final'!$A$46),"")</f>
        <v/>
      </c>
      <c r="Q10" s="267"/>
      <c r="R10" s="268" t="str">
        <f ca="1">IF(AND('Mapa final'!$H$52="Muy Alta",'Mapa final'!$L$52="Menor"),CONCATENATE("R",'Mapa final'!$A$52),"")</f>
        <v/>
      </c>
      <c r="S10" s="268"/>
      <c r="T10" s="268" t="str">
        <f ca="1">IF(AND('Mapa final'!$H$58="Muy Alta",'Mapa final'!$L$58="Menor"),CONCATENATE("R",'Mapa final'!$A$58),"")</f>
        <v/>
      </c>
      <c r="U10" s="269"/>
      <c r="V10" s="266" t="str">
        <f ca="1">IF(AND('Mapa final'!$H$46="Muy Alta",'Mapa final'!$L$46="Moderado"),CONCATENATE("R",'Mapa final'!$A$46),"")</f>
        <v/>
      </c>
      <c r="W10" s="267"/>
      <c r="X10" s="268" t="str">
        <f ca="1">IF(AND('Mapa final'!$H$52="Muy Alta",'Mapa final'!$L$52="Moderado"),CONCATENATE("R",'Mapa final'!$A$52),"")</f>
        <v/>
      </c>
      <c r="Y10" s="268"/>
      <c r="Z10" s="268" t="str">
        <f ca="1">IF(AND('Mapa final'!$H$58="Muy Alta",'Mapa final'!$L$58="Moderado"),CONCATENATE("R",'Mapa final'!$A$58),"")</f>
        <v/>
      </c>
      <c r="AA10" s="269"/>
      <c r="AB10" s="266" t="str">
        <f ca="1">IF(AND('Mapa final'!$H$46="Muy Alta",'Mapa final'!$L$46="Mayor"),CONCATENATE("R",'Mapa final'!$A$46),"")</f>
        <v/>
      </c>
      <c r="AC10" s="267"/>
      <c r="AD10" s="268" t="str">
        <f ca="1">IF(AND('Mapa final'!$H$52="Muy Alta",'Mapa final'!$L$52="Mayor"),CONCATENATE("R",'Mapa final'!$A$52),"")</f>
        <v/>
      </c>
      <c r="AE10" s="268"/>
      <c r="AF10" s="268" t="str">
        <f ca="1">IF(AND('Mapa final'!$H$58="Muy Alta",'Mapa final'!$L$58="Mayor"),CONCATENATE("R",'Mapa final'!$A$58),"")</f>
        <v/>
      </c>
      <c r="AG10" s="269"/>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 ca="1">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 ca="1">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 ca="1">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 ca="1">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8" t="str">
        <f ca="1">IF(AND('Mapa final'!$H$34="Alta",'Mapa final'!$L$34="Moderado"),CONCATENATE("R",'Mapa final'!$A$34),"")</f>
        <v/>
      </c>
      <c r="Y16" s="268"/>
      <c r="Z16" s="268" t="str">
        <f ca="1">IF(AND('Mapa final'!$H$40="Alta",'Mapa final'!$L$40="Moderado"),CONCATENATE("R",'Mapa final'!$A$40),"")</f>
        <v/>
      </c>
      <c r="AA16" s="269"/>
      <c r="AB16" s="266" t="str">
        <f ca="1">IF(AND('Mapa final'!$H$28="Alta",'Mapa final'!$L$28="Mayor"),CONCATENATE("R",'Mapa final'!$A$28),"")</f>
        <v/>
      </c>
      <c r="AC16" s="267"/>
      <c r="AD16" s="268" t="str">
        <f ca="1">IF(AND('Mapa final'!$H$34="Alta",'Mapa final'!$L$34="Mayor"),CONCATENATE("R",'Mapa final'!$A$34),"")</f>
        <v/>
      </c>
      <c r="AE16" s="268"/>
      <c r="AF16" s="268" t="str">
        <f ca="1">IF(AND('Mapa final'!$H$40="Alta",'Mapa final'!$L$40="Mayor"),CONCATENATE("R",'Mapa final'!$A$40),"")</f>
        <v/>
      </c>
      <c r="AG16" s="269"/>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8" t="str">
        <f ca="1">IF(AND('Mapa final'!$H$52="Alta",'Mapa final'!$L$52="Moderado"),CONCATENATE("R",'Mapa final'!$A$52),"")</f>
        <v/>
      </c>
      <c r="Y18" s="268"/>
      <c r="Z18" s="268" t="str">
        <f ca="1">IF(AND('Mapa final'!$H$58="Alta",'Mapa final'!$L$58="Moderado"),CONCATENATE("R",'Mapa final'!$A$58),"")</f>
        <v/>
      </c>
      <c r="AA18" s="269"/>
      <c r="AB18" s="266" t="str">
        <f ca="1">IF(AND('Mapa final'!$H$46="Alta",'Mapa final'!$L$46="Mayor"),CONCATENATE("R",'Mapa final'!$A$46),"")</f>
        <v/>
      </c>
      <c r="AC18" s="267"/>
      <c r="AD18" s="268" t="str">
        <f ca="1">IF(AND('Mapa final'!$H$52="Alta",'Mapa final'!$L$52="Mayor"),CONCATENATE("R",'Mapa final'!$A$52),"")</f>
        <v/>
      </c>
      <c r="AE18" s="268"/>
      <c r="AF18" s="268" t="str">
        <f ca="1">IF(AND('Mapa final'!$H$58="Alta",'Mapa final'!$L$58="Mayor"),CONCATENATE("R",'Mapa final'!$A$58),"")</f>
        <v/>
      </c>
      <c r="AG18" s="269"/>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 ca="1">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8" t="str">
        <f ca="1">IF(AND('Mapa final'!$H$34="Media",'Mapa final'!$L$34="Mayor"),CONCATENATE("R",'Mapa final'!$A$34),"")</f>
        <v/>
      </c>
      <c r="AE24" s="268"/>
      <c r="AF24" s="268" t="str">
        <f ca="1">IF(AND('Mapa final'!$H$40="Media",'Mapa final'!$L$40="Mayor"),CONCATENATE("R",'Mapa final'!$A$40),"")</f>
        <v/>
      </c>
      <c r="AG24" s="269"/>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8" t="str">
        <f ca="1">IF(AND('Mapa final'!$H$52="Media",'Mapa final'!$L$52="Mayor"),CONCATENATE("R",'Mapa final'!$A$52),"")</f>
        <v/>
      </c>
      <c r="AE26" s="268"/>
      <c r="AF26" s="268" t="str">
        <f ca="1">IF(AND('Mapa final'!$H$58="Media",'Mapa final'!$L$58="Mayor"),CONCATENATE("R",'Mapa final'!$A$58),"")</f>
        <v/>
      </c>
      <c r="AG26" s="269"/>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 ca="1">IF(AND('Mapa final'!$H$10="Baja",'Mapa final'!$L$10="Leve"),CONCATENATE("R",'Mapa final'!$A$10),"")</f>
        <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8" t="str">
        <f ca="1">IF(AND('Mapa final'!$H$34="Baja",'Mapa final'!$L$34="Mayor"),CONCATENATE("R",'Mapa final'!$A$34),"")</f>
        <v/>
      </c>
      <c r="AE32" s="268"/>
      <c r="AF32" s="268" t="str">
        <f ca="1">IF(AND('Mapa final'!$H$40="Baja",'Mapa final'!$L$40="Mayor"),CONCATENATE("R",'Mapa final'!$A$40),"")</f>
        <v/>
      </c>
      <c r="AG32" s="269"/>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8" t="str">
        <f ca="1">IF(AND('Mapa final'!$H$52="Baja",'Mapa final'!$L$52="Mayor"),CONCATENATE("R",'Mapa final'!$A$52),"")</f>
        <v/>
      </c>
      <c r="AE34" s="268"/>
      <c r="AF34" s="268" t="str">
        <f ca="1">IF(AND('Mapa final'!$H$58="Baja",'Mapa final'!$L$58="Mayor"),CONCATENATE("R",'Mapa final'!$A$58),"")</f>
        <v/>
      </c>
      <c r="AG34" s="269"/>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 ca="1">IF(AND('Mapa final'!$H$10="Muy Baja",'Mapa final'!$L$10="Leve"),CONCATENATE("R",'Mapa final'!$A$10),"")</f>
        <v/>
      </c>
      <c r="K38" s="246"/>
      <c r="L38" s="246" t="str">
        <f ca="1">IF(AND('Mapa final'!$H$16="Muy Baja",'Mapa final'!$L$16="Leve"),CONCATENATE("R",'Mapa final'!$A$16),"")</f>
        <v>R2</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R1</v>
      </c>
      <c r="W38" s="255"/>
      <c r="X38" s="255" t="str">
        <f ca="1">IF(AND('Mapa final'!$H$16="Muy Baja",'Mapa final'!$L$16="Moderado"),CONCATENATE("R",'Mapa final'!$A$16),"")</f>
        <v/>
      </c>
      <c r="Y38" s="255"/>
      <c r="Z38" s="255" t="str">
        <f ca="1">IF(AND('Mapa final'!$H$22="Muy Baja",'Mapa final'!$L$22="Moderado"),CONCATENATE("R",'Mapa final'!$A$22),"")</f>
        <v/>
      </c>
      <c r="AA38" s="256"/>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8" t="str">
        <f ca="1">IF(AND('Mapa final'!$H$34="Muy Baja",'Mapa final'!$L$34="Mayor"),CONCATENATE("R",'Mapa final'!$A$34),"")</f>
        <v/>
      </c>
      <c r="AE40" s="268"/>
      <c r="AF40" s="268" t="str">
        <f ca="1">IF(AND('Mapa final'!$H$40="Muy Baja",'Mapa final'!$L$40="Mayor"),CONCATENATE("R",'Mapa final'!$A$40),"")</f>
        <v/>
      </c>
      <c r="AG40" s="269"/>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8" t="str">
        <f ca="1">IF(AND('Mapa final'!$H$52="Muy Baja",'Mapa final'!$L$52="Mayor"),CONCATENATE("R",'Mapa final'!$A$52),"")</f>
        <v/>
      </c>
      <c r="AE42" s="268"/>
      <c r="AF42" s="268" t="str">
        <f ca="1">IF(AND('Mapa final'!$H$58="Muy Baja",'Mapa final'!$L$58="Mayor"),CONCATENATE("R",'Mapa final'!$A$58),"")</f>
        <v/>
      </c>
      <c r="AG42" s="269"/>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 ca="1">IF(AND('Mapa final'!$Y$10="Alta",'Mapa final'!$AA$10="Leve"),CONCATENATE("R1C",'Mapa final'!$O$10),"")</f>
        <v/>
      </c>
      <c r="K16" s="66" t="str">
        <f ca="1">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 ca="1">IF(AND('Mapa final'!$Y$16="Alta",'Mapa final'!$AA$16="Leve"),CONCATENATE("R2C",'Mapa final'!$O$16),"")</f>
        <v/>
      </c>
      <c r="K17" s="69" t="str">
        <f ca="1">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 ca="1">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 ca="1">IF(AND('Mapa final'!$Y$10="Media",'Mapa final'!$AA$10="Leve"),CONCATENATE("R1C",'Mapa final'!$O$10),"")</f>
        <v/>
      </c>
      <c r="K26" s="66" t="str">
        <f ca="1">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 ca="1">IF(AND('Mapa final'!$Y$16="Media",'Mapa final'!$AA$16="Leve"),CONCATENATE("R2C",'Mapa final'!$O$16),"")</f>
        <v/>
      </c>
      <c r="K27" s="69" t="str">
        <f ca="1">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 ca="1">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 ca="1">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 ca="1">IF(AND('Mapa final'!$Y$10="Baja",'Mapa final'!$AA$10="Leve"),CONCATENATE("R1C",'Mapa final'!$O$10),"")</f>
        <v/>
      </c>
      <c r="K36" s="75" t="str">
        <f ca="1">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 ca="1">IF(AND('Mapa final'!$Y$16="Baja",'Mapa final'!$AA$16="Leve"),CONCATENATE("R2C",'Mapa final'!$O$16),"")</f>
        <v/>
      </c>
      <c r="K37" s="78" t="str">
        <f ca="1">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 ca="1">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 ca="1">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 ca="1">IF(AND('Mapa final'!$Y$10="Muy Baja",'Mapa final'!$AA$10="Leve"),CONCATENATE("R1C",'Mapa final'!$O$10),"")</f>
        <v/>
      </c>
      <c r="K46" s="75" t="str">
        <f ca="1">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R1C1</v>
      </c>
      <c r="W46" s="83" t="str">
        <f ca="1">IF(AND('Mapa final'!$Y$11="Muy Baja",'Mapa final'!$AA$11="Moderado"),CONCATENATE("R1C",'Mapa final'!$O$11),"")</f>
        <v>R1C2</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 ca="1">IF(AND('Mapa final'!$Y$16="Muy Baja",'Mapa final'!$AA$16="Leve"),CONCATENATE("R2C",'Mapa final'!$O$16),"")</f>
        <v>R2C1</v>
      </c>
      <c r="K47" s="78" t="str">
        <f ca="1">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 ca="1">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 ca="1">IF(AND('Mapa final'!$Y$17="Muy Baja",'Mapa final'!$AA$17="Moderado"),CONCATENATE("R2C",'Mapa final'!$O$17),"")</f>
        <v>R2C2</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2020-05-13T01:12:22Z</cp:lastPrinted>
  <dcterms:created xsi:type="dcterms:W3CDTF">2020-03-24T23:12:47Z</dcterms:created>
  <dcterms:modified xsi:type="dcterms:W3CDTF">2024-09-23T22:58:13Z</dcterms:modified>
</cp:coreProperties>
</file>