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InkAnnotation="0" codeName="ThisWorkbook" defaultThemeVersion="124226"/>
  <mc:AlternateContent xmlns:mc="http://schemas.openxmlformats.org/markup-compatibility/2006">
    <mc:Choice Requires="x15">
      <x15ac:absPath xmlns:x15ac="http://schemas.microsoft.com/office/spreadsheetml/2010/11/ac" url="C:\Users\cmorenol\Documents\SDO\Planes SDO\Plan Sectorial\"/>
    </mc:Choice>
  </mc:AlternateContent>
  <xr:revisionPtr revIDLastSave="0" documentId="8_{ED93202E-E7C6-43A5-BB35-BD6C28F90BFE}" xr6:coauthVersionLast="36" xr6:coauthVersionMax="36" xr10:uidLastSave="{00000000-0000-0000-0000-000000000000}"/>
  <bookViews>
    <workbookView xWindow="0" yWindow="0" windowWidth="28800" windowHeight="12225" tabRatio="823" xr2:uid="{00000000-000D-0000-FFFF-FFFF00000000}"/>
  </bookViews>
  <sheets>
    <sheet name="PORCENTAJE CUMPLIMIENTO EAV" sheetId="16" r:id="rId1"/>
    <sheet name="TALENTO HUMANO" sheetId="11" r:id="rId2"/>
    <sheet name="DIRECCIONAMIENTO ESTRATEGICO" sheetId="9" r:id="rId3"/>
    <sheet name="VALORES PARA RESULTADOS" sheetId="10" r:id="rId4"/>
    <sheet name="EVALUACIÓN DE RESULTADOS" sheetId="14" r:id="rId5"/>
    <sheet name="INFORMACIÓN Y COMUNICACIÓN" sheetId="12" r:id="rId6"/>
    <sheet name="GESTIÓN DEL CONOCIMIENTO" sheetId="13" r:id="rId7"/>
    <sheet name="CONTROL INTERNO" sheetId="15" r:id="rId8"/>
    <sheet name="Categorías" sheetId="7" state="hidden" r:id="rId9"/>
  </sheets>
  <definedNames>
    <definedName name="_xlnm.Print_Area" localSheetId="5">'INFORMACIÓN Y COMUNICACIÓN'!$A$1:$Y$20</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9" i="10" l="1"/>
  <c r="V17" i="11" l="1"/>
  <c r="V16" i="11"/>
  <c r="V15" i="11"/>
  <c r="V14" i="11"/>
  <c r="V13" i="11"/>
  <c r="V12" i="11"/>
  <c r="V10" i="11"/>
  <c r="V9" i="11"/>
  <c r="V15" i="14" l="1"/>
  <c r="M20" i="12" l="1"/>
  <c r="M20" i="11"/>
  <c r="M17" i="9"/>
  <c r="M22" i="10"/>
  <c r="M16" i="14"/>
  <c r="M14" i="16" l="1"/>
  <c r="I14" i="16"/>
  <c r="G14" i="16"/>
  <c r="F14" i="16"/>
  <c r="L13" i="16"/>
  <c r="I13" i="16"/>
  <c r="H13" i="16"/>
  <c r="G13" i="16"/>
  <c r="F13" i="16"/>
  <c r="E13" i="16"/>
  <c r="D13" i="16"/>
  <c r="K11" i="16"/>
  <c r="F11" i="16"/>
  <c r="E11" i="16"/>
  <c r="M10" i="16"/>
  <c r="L10" i="16"/>
  <c r="J10" i="16"/>
  <c r="I10" i="16"/>
  <c r="G10" i="16"/>
  <c r="F10" i="16"/>
  <c r="D10" i="16"/>
  <c r="C10" i="16"/>
  <c r="M9" i="16"/>
  <c r="L9" i="16"/>
  <c r="J9" i="16"/>
  <c r="I9" i="16"/>
  <c r="G9" i="16"/>
  <c r="D9" i="16"/>
  <c r="M8" i="16"/>
  <c r="L8" i="16"/>
  <c r="I8" i="16"/>
  <c r="G8" i="16"/>
  <c r="F8" i="16"/>
  <c r="D8" i="16"/>
  <c r="L14" i="15"/>
  <c r="X13" i="15"/>
  <c r="W13" i="15"/>
  <c r="L14" i="16" s="1"/>
  <c r="V13" i="15"/>
  <c r="K14" i="16" s="1"/>
  <c r="U13" i="15"/>
  <c r="J14" i="16" s="1"/>
  <c r="T13" i="15"/>
  <c r="S13" i="15"/>
  <c r="H14" i="16" s="1"/>
  <c r="R13" i="15"/>
  <c r="Q13" i="15"/>
  <c r="P13" i="15"/>
  <c r="E14" i="16" s="1"/>
  <c r="O13" i="15"/>
  <c r="D14" i="16" s="1"/>
  <c r="N13" i="15"/>
  <c r="C14" i="16" s="1"/>
  <c r="Y11" i="15"/>
  <c r="Y10" i="15"/>
  <c r="Y9" i="15"/>
  <c r="Y8" i="15"/>
  <c r="L12" i="13"/>
  <c r="X11" i="13"/>
  <c r="M13" i="16" s="1"/>
  <c r="W11" i="13"/>
  <c r="V11" i="13"/>
  <c r="K13" i="16" s="1"/>
  <c r="U11" i="13"/>
  <c r="J13" i="16" s="1"/>
  <c r="T11" i="13"/>
  <c r="S11" i="13"/>
  <c r="R11" i="13"/>
  <c r="Q11" i="13"/>
  <c r="P11" i="13"/>
  <c r="O11" i="13"/>
  <c r="N11" i="13"/>
  <c r="C13" i="16" s="1"/>
  <c r="Y9" i="13"/>
  <c r="Y8" i="13"/>
  <c r="L20" i="12"/>
  <c r="X19" i="12"/>
  <c r="M12" i="16" s="1"/>
  <c r="W19" i="12"/>
  <c r="L12" i="16" s="1"/>
  <c r="V19" i="12"/>
  <c r="K12" i="16" s="1"/>
  <c r="U19" i="12"/>
  <c r="J12" i="16" s="1"/>
  <c r="T19" i="12"/>
  <c r="I12" i="16" s="1"/>
  <c r="S19" i="12"/>
  <c r="H12" i="16" s="1"/>
  <c r="R19" i="12"/>
  <c r="G12" i="16" s="1"/>
  <c r="Q19" i="12"/>
  <c r="F12" i="16" s="1"/>
  <c r="P19" i="12"/>
  <c r="E12" i="16" s="1"/>
  <c r="O19" i="12"/>
  <c r="D12" i="16" s="1"/>
  <c r="N19" i="12"/>
  <c r="C12" i="16" s="1"/>
  <c r="Y17" i="12"/>
  <c r="Y16" i="12"/>
  <c r="Y15" i="12"/>
  <c r="Y14" i="12"/>
  <c r="Y13" i="12"/>
  <c r="Y12" i="12"/>
  <c r="Y11" i="12"/>
  <c r="Y10" i="12"/>
  <c r="Y9" i="12"/>
  <c r="Y8" i="12"/>
  <c r="L16" i="14"/>
  <c r="X15" i="14"/>
  <c r="M11" i="16" s="1"/>
  <c r="W15" i="14"/>
  <c r="L11" i="16" s="1"/>
  <c r="U15" i="14"/>
  <c r="J11" i="16" s="1"/>
  <c r="T15" i="14"/>
  <c r="I11" i="16" s="1"/>
  <c r="S15" i="14"/>
  <c r="H11" i="16" s="1"/>
  <c r="R15" i="14"/>
  <c r="G11" i="16" s="1"/>
  <c r="Q15" i="14"/>
  <c r="P15" i="14"/>
  <c r="O15" i="14"/>
  <c r="D11" i="16" s="1"/>
  <c r="N15" i="14"/>
  <c r="C11" i="16" s="1"/>
  <c r="Y13" i="14"/>
  <c r="Y12" i="14"/>
  <c r="Y11" i="14"/>
  <c r="Y10" i="14"/>
  <c r="Y9" i="14"/>
  <c r="Y8" i="14"/>
  <c r="L22" i="10"/>
  <c r="X21" i="10"/>
  <c r="W21" i="10"/>
  <c r="V21" i="10"/>
  <c r="K10" i="16" s="1"/>
  <c r="U21" i="10"/>
  <c r="T21" i="10"/>
  <c r="S21" i="10"/>
  <c r="H10" i="16" s="1"/>
  <c r="R21" i="10"/>
  <c r="Q21" i="10"/>
  <c r="P21" i="10"/>
  <c r="E10" i="16" s="1"/>
  <c r="O21" i="10"/>
  <c r="N21" i="10"/>
  <c r="Y19" i="10"/>
  <c r="Y18" i="10"/>
  <c r="Y17" i="10"/>
  <c r="Y16" i="10"/>
  <c r="Y15" i="10"/>
  <c r="Y14" i="10"/>
  <c r="Y13" i="10"/>
  <c r="Y12" i="10"/>
  <c r="Y11" i="10"/>
  <c r="Y10" i="10"/>
  <c r="Y9" i="10"/>
  <c r="Y8" i="10"/>
  <c r="D270" i="9"/>
  <c r="D248" i="9"/>
  <c r="D241" i="9"/>
  <c r="P205" i="9"/>
  <c r="D199" i="9"/>
  <c r="D186" i="9"/>
  <c r="D178" i="9"/>
  <c r="D153" i="9"/>
  <c r="D142" i="9"/>
  <c r="D132" i="9"/>
  <c r="N125" i="9"/>
  <c r="D119" i="9"/>
  <c r="R118" i="9"/>
  <c r="N118" i="9"/>
  <c r="N117" i="9"/>
  <c r="R116" i="9"/>
  <c r="N116" i="9"/>
  <c r="R115" i="9"/>
  <c r="N115" i="9"/>
  <c r="R114" i="9"/>
  <c r="R113" i="9"/>
  <c r="N113" i="9"/>
  <c r="R108" i="9"/>
  <c r="N108" i="9"/>
  <c r="R104" i="9"/>
  <c r="N104" i="9"/>
  <c r="R101" i="9"/>
  <c r="R100" i="9"/>
  <c r="N100" i="9"/>
  <c r="R98" i="9"/>
  <c r="R97" i="9"/>
  <c r="N97" i="9"/>
  <c r="R95" i="9"/>
  <c r="N95" i="9"/>
  <c r="R94" i="9"/>
  <c r="N94" i="9"/>
  <c r="R92" i="9"/>
  <c r="R91" i="9"/>
  <c r="N91" i="9"/>
  <c r="R90" i="9"/>
  <c r="N90" i="9"/>
  <c r="R86" i="9"/>
  <c r="N86" i="9"/>
  <c r="D80" i="9"/>
  <c r="R79" i="9"/>
  <c r="R77" i="9"/>
  <c r="R76" i="9"/>
  <c r="R75" i="9"/>
  <c r="R74" i="9"/>
  <c r="R73" i="9"/>
  <c r="R71" i="9"/>
  <c r="R68" i="9"/>
  <c r="R67" i="9"/>
  <c r="R66" i="9"/>
  <c r="R65" i="9"/>
  <c r="R63" i="9"/>
  <c r="R62" i="9"/>
  <c r="R60" i="9"/>
  <c r="R59" i="9"/>
  <c r="R58" i="9"/>
  <c r="R57" i="9"/>
  <c r="R55" i="9"/>
  <c r="R54" i="9"/>
  <c r="R53" i="9"/>
  <c r="R51" i="9"/>
  <c r="R49" i="9"/>
  <c r="R47" i="9"/>
  <c r="R43" i="9"/>
  <c r="R42" i="9"/>
  <c r="R41" i="9"/>
  <c r="R40" i="9"/>
  <c r="R37" i="9"/>
  <c r="R36" i="9"/>
  <c r="R35" i="9"/>
  <c r="R34" i="9"/>
  <c r="R32" i="9"/>
  <c r="R31" i="9"/>
  <c r="R30" i="9"/>
  <c r="R29" i="9"/>
  <c r="R28" i="9"/>
  <c r="R27" i="9"/>
  <c r="R26" i="9"/>
  <c r="L17" i="9"/>
  <c r="X16" i="9"/>
  <c r="W16" i="9"/>
  <c r="V16" i="9"/>
  <c r="K9" i="16" s="1"/>
  <c r="U16" i="9"/>
  <c r="T16" i="9"/>
  <c r="S16" i="9"/>
  <c r="H9" i="16" s="1"/>
  <c r="R16" i="9"/>
  <c r="Q16" i="9"/>
  <c r="F9" i="16" s="1"/>
  <c r="P16" i="9"/>
  <c r="E9" i="16" s="1"/>
  <c r="O16" i="9"/>
  <c r="N16" i="9"/>
  <c r="C9" i="16" s="1"/>
  <c r="D15" i="9"/>
  <c r="Y14" i="9"/>
  <c r="Y13" i="9"/>
  <c r="Y12" i="9"/>
  <c r="Y11" i="9"/>
  <c r="Y10" i="9"/>
  <c r="Y9" i="9"/>
  <c r="Y8" i="9"/>
  <c r="L20" i="11"/>
  <c r="X19" i="11"/>
  <c r="W19" i="11"/>
  <c r="V19" i="11"/>
  <c r="K8" i="16" s="1"/>
  <c r="U19" i="11"/>
  <c r="J8" i="16" s="1"/>
  <c r="T19" i="11"/>
  <c r="S19" i="11"/>
  <c r="H8" i="16" s="1"/>
  <c r="R19" i="11"/>
  <c r="Q19" i="11"/>
  <c r="P19" i="11"/>
  <c r="E8" i="16" s="1"/>
  <c r="O19" i="11"/>
  <c r="N19" i="11"/>
  <c r="C8" i="16" s="1"/>
  <c r="Y17" i="11"/>
  <c r="Y16" i="11"/>
  <c r="Y15" i="11"/>
  <c r="Y14" i="11"/>
  <c r="Y13" i="11"/>
  <c r="Y12" i="11"/>
  <c r="Y11" i="11"/>
  <c r="Y10" i="11"/>
  <c r="Y9" i="11"/>
  <c r="Y8" i="11"/>
  <c r="H15" i="16" l="1"/>
  <c r="N13" i="16"/>
  <c r="N11" i="16"/>
  <c r="N14" i="16"/>
  <c r="N9" i="16"/>
  <c r="N12" i="16"/>
  <c r="N10" i="16"/>
  <c r="N8" i="16"/>
  <c r="C15" i="16"/>
  <c r="Y13" i="15"/>
  <c r="C22" i="16" s="1"/>
  <c r="Y11" i="13"/>
  <c r="C25" i="16" s="1"/>
  <c r="Y19" i="12"/>
  <c r="C24" i="16" s="1"/>
  <c r="Y15" i="14"/>
  <c r="C19" i="16" s="1"/>
  <c r="Y21" i="10"/>
  <c r="C23" i="16" s="1"/>
  <c r="Y16" i="9"/>
  <c r="C20" i="16" s="1"/>
  <c r="E15" i="16"/>
  <c r="Y19" i="11"/>
  <c r="C21" i="16" s="1"/>
  <c r="J15" i="16"/>
  <c r="F15" i="16"/>
  <c r="M15" i="16"/>
  <c r="L15" i="16"/>
  <c r="K15" i="16"/>
  <c r="I15" i="16"/>
  <c r="G15" i="16"/>
  <c r="D15" i="16"/>
  <c r="C26" i="16" l="1"/>
  <c r="N1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Eduardo Niño Velandia</author>
    <author>Juan Pablo Bicenty Mendoza</author>
  </authors>
  <commentList>
    <comment ref="L8" authorId="0" shapeId="0" xr:uid="{4F601B6D-4F18-49BF-950C-28CC3B16D620}">
      <text>
        <r>
          <rPr>
            <b/>
            <sz val="12"/>
            <color indexed="81"/>
            <rFont val="Tahoma"/>
            <family val="2"/>
          </rPr>
          <t>Luis Eduardo Niño Velandia:
Se acepta propuesta de icetex de ajustar % para que queden acordes con los de la dimensión de gestión de valores por resultados.</t>
        </r>
      </text>
    </comment>
    <comment ref="S265" authorId="1" shapeId="0" xr:uid="{23545DDA-E760-45CC-8E39-1DB81BE5EDFF}">
      <text>
        <r>
          <rPr>
            <b/>
            <sz val="9"/>
            <color indexed="81"/>
            <rFont val="Tahoma"/>
            <family val="2"/>
          </rPr>
          <t>Juan Pablo Bicenty Mendoza:</t>
        </r>
        <r>
          <rPr>
            <sz val="9"/>
            <color indexed="81"/>
            <rFont val="Tahoma"/>
            <family val="2"/>
          </rPr>
          <t xml:space="preserve">
Que pasó con el avance cualitativo?</t>
        </r>
      </text>
    </comment>
  </commentList>
</comments>
</file>

<file path=xl/sharedStrings.xml><?xml version="1.0" encoding="utf-8"?>
<sst xmlns="http://schemas.openxmlformats.org/spreadsheetml/2006/main" count="2111" uniqueCount="1060">
  <si>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</si>
  <si>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</si>
  <si>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</si>
  <si>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</si>
  <si>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</si>
  <si>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</si>
  <si>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</si>
  <si>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</si>
  <si>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</si>
  <si>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</si>
  <si>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</si>
  <si>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</si>
  <si>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</si>
  <si>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</si>
  <si>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</si>
  <si>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</si>
  <si>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</si>
  <si>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</si>
  <si>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</si>
  <si>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</si>
  <si>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</si>
  <si>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</si>
  <si>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</si>
  <si>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</si>
  <si>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</si>
  <si>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</si>
  <si>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</si>
  <si>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</si>
  <si>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</si>
  <si>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</si>
  <si>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</si>
  <si>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</si>
  <si>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</si>
  <si>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</si>
  <si>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</si>
  <si>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</si>
  <si>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</si>
  <si>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</si>
  <si>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</si>
  <si>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</si>
  <si>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</si>
  <si>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</si>
  <si>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</si>
  <si>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</si>
  <si>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</si>
  <si>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</si>
  <si>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</si>
  <si>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</si>
  <si>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</si>
  <si>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</si>
  <si>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</si>
  <si>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</si>
  <si>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</si>
  <si>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</si>
  <si>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</si>
  <si>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</si>
  <si>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</si>
  <si>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</si>
  <si>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</si>
  <si>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</si>
  <si>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</si>
  <si>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</si>
  <si>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</si>
  <si>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</si>
  <si>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</si>
  <si>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</si>
  <si>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</si>
  <si>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</si>
  <si>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</si>
  <si>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</si>
  <si>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</si>
  <si>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</si>
  <si>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</si>
  <si>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</si>
  <si>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</si>
  <si>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</si>
  <si>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</si>
  <si>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</si>
  <si>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</si>
  <si>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</si>
  <si>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</si>
  <si>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</si>
  <si>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</si>
  <si>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el plan de fortalecimiento institucional para el Sistema de Gestión de la entidad y hacer seguimiento trimestral a los avances del mismo.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</si>
  <si>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</si>
  <si>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</si>
  <si>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</si>
  <si>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</si>
  <si>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</si>
  <si>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</si>
  <si>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</si>
  <si>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</si>
  <si>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</si>
  <si>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</si>
  <si>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 xml:space="preserve">Formular, ejecutar y hacer seguimiento al  plan de accesibilidad para la vigencia. </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</si>
  <si>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</si>
  <si>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</si>
  <si>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</si>
  <si>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</si>
  <si>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</si>
  <si>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 xml:space="preserve">Desarrollar y hacer seguimiento al plan de trabajo para la gestión del riesgo en la entidad </t>
  </si>
  <si>
    <t>Formular y desarrollar el Programa Anual de Auditoria para evaluar la gestión institucional.</t>
  </si>
  <si>
    <t>Realizar seguimiento al cumplimiento y efectividad de las acciones de mejoramiento generadas en las diferentes fuentes de evaluación.</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</si>
  <si>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</si>
  <si>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</si>
  <si>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</si>
  <si>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</si>
  <si>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</si>
  <si>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</si>
  <si>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Realizar un diagnóstico a nivel interno de la entidad de la capacidad en recursos humanos, fisicos y tecnologicos en función de la prestación del servicio (trámites y servicios)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</si>
  <si>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</si>
  <si>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</si>
  <si>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</si>
  <si>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</si>
  <si>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</si>
  <si>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</si>
  <si>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</si>
  <si>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</si>
  <si>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</si>
  <si>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</si>
  <si>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</si>
  <si>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</si>
  <si>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</si>
  <si>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</si>
  <si>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</si>
  <si>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</si>
  <si>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</si>
  <si>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</si>
  <si>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</si>
  <si>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</si>
  <si>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 xml:space="preserve">Evaluar el grado de cumplimiento del indice de coherencia y buen gobierno por cada una de las entidades </t>
  </si>
  <si>
    <t xml:space="preserve">Realizar el autodiagnóstico del MIPG V2 para la entidad y elaborar el plan de trabajo pàra fortalecer las poíticas de gestión y desempeño institucional y el cumplimiento de requisitos </t>
  </si>
  <si>
    <t>Realizar la ejecución presupuestal de la entidad realizando los ajustes a los que haya lugar.</t>
  </si>
  <si>
    <t>Formular y ejecutar Plan para la implementación de la Estrategia de Gobierno Digital para la entidad en función de los lineamiento de Min Tic para el efecto y los cuatro ejes que lo comprenden (Tics para gobierno abierto, Tic para servicios, TIC para la gestión y Seguridad de la información) .</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</si>
  <si>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</si>
  <si>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</si>
  <si>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</si>
  <si>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</si>
  <si>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</si>
  <si>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</si>
  <si>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</si>
  <si>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</si>
  <si>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</si>
  <si>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</si>
  <si>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</si>
  <si>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</si>
  <si>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</si>
  <si>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</si>
  <si>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</si>
  <si>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</si>
  <si>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</si>
  <si>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</si>
  <si>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</si>
  <si>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</si>
  <si>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</si>
  <si>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</si>
  <si>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</si>
  <si>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</si>
  <si>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</si>
  <si>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Número</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</si>
  <si>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</si>
  <si>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</si>
  <si>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</si>
  <si>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</si>
  <si>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en la deficinión o ajuste de la metodología/procedimiento(s) y la estrategia para la gestión del conocimiento</t>
  </si>
  <si>
    <t>% de cumplimiento definición y ejecución plan de trabajo</t>
  </si>
  <si>
    <t xml:space="preserve">Cumplimiento Plan Estrategico TH </t>
  </si>
  <si>
    <r>
      <rPr>
        <b/>
        <sz val="11"/>
        <rFont val="Calibri"/>
        <family val="2"/>
        <scheme val="minor"/>
      </rPr>
      <t xml:space="preserve">DISEÑAR, ACTUALIZAR Y HACER SEGUIMIENTO AL PLAN ESTRATEGICO DE TALENTO HUMANO: </t>
    </r>
    <r>
      <rPr>
        <sz val="11"/>
        <rFont val="Calibri"/>
        <family val="2"/>
        <scheme val="minor"/>
      </rPr>
      <t xml:space="preserve">Actualizar y hacer seguimiento del plan estratégico de Talento Humano, con todos los componentes definidos y rutas determinadas por el MIPG. </t>
    </r>
  </si>
  <si>
    <t>01/0172018</t>
  </si>
  <si>
    <t xml:space="preserve">30/032018 </t>
  </si>
  <si>
    <t xml:space="preserve">Poblacion Caracterizada </t>
  </si>
  <si>
    <t>100 % Población Caracterizada</t>
  </si>
  <si>
    <r>
      <rPr>
        <b/>
        <sz val="11"/>
        <rFont val="Calibri"/>
        <family val="2"/>
        <scheme val="minor"/>
      </rPr>
      <t xml:space="preserve">DIRECCIONAMIENTO  PLANEACION Y CARACTERIZACION : </t>
    </r>
    <r>
      <rPr>
        <sz val="11"/>
        <rFont val="Calibri"/>
        <family val="2"/>
        <scheme val="minor"/>
      </rPr>
      <t xml:space="preserve"> 
1. Realizar la caracterización de  los servidores de Entidad Adscrita y/o Vinculada y su núcleo familiar. 
2. Realizar el diagnòstico del talento humano de la misma en los componentes del PETH, referencia Matriz GETH. ( Medicion y seguimiento) </t>
    </r>
  </si>
  <si>
    <t xml:space="preserve">
Realizado el diagnostico de la población al 100% </t>
  </si>
  <si>
    <t xml:space="preserve">Implementación SG- SST </t>
  </si>
  <si>
    <r>
      <rPr>
        <b/>
        <sz val="11"/>
        <rFont val="Calibri"/>
        <family val="2"/>
        <scheme val="minor"/>
      </rPr>
      <t xml:space="preserve">SGSST: </t>
    </r>
    <r>
      <rPr>
        <sz val="11"/>
        <rFont val="Calibri"/>
        <family val="2"/>
        <scheme val="minor"/>
      </rPr>
      <t xml:space="preserve">Desarrollar el plan de trabajo para el Sistema  de seguridad y salud en el trabajo y hacer medición y seguimiento a su impacto </t>
    </r>
  </si>
  <si>
    <t xml:space="preserve">Fortalecimiento y desarrollo del Talento Humano </t>
  </si>
  <si>
    <r>
      <rPr>
        <b/>
        <sz val="11"/>
        <rFont val="Calibri"/>
        <family val="2"/>
        <scheme val="minor"/>
      </rPr>
      <t xml:space="preserve">FORTALECIMIENTO Y DESARROLLO DEL TALENTO HUMANO : </t>
    </r>
    <r>
      <rPr>
        <sz val="11"/>
        <rFont val="Calibri"/>
        <family val="2"/>
        <scheme val="minor"/>
      </rPr>
      <t xml:space="preserve">Formular y hacer seguimiento a los planes asociados al  crecimiento y desarrollo profesional de la entidad  (Clima Organizacional, Plan de bienestar, Incentivos, Inducción y Reinducción, 
Capacitación, Desarrollo de Competencias, Cultura Organizacional), Uso y apropiación de TIC,  Gestion del Conocimiento. </t>
    </r>
  </si>
  <si>
    <r>
      <rPr>
        <b/>
        <sz val="11"/>
        <rFont val="Calibri"/>
        <family val="2"/>
        <scheme val="minor"/>
      </rPr>
      <t xml:space="preserve">VINCULACION, DESARROLLO Y CRECIMIENTO Y DESVINCULACION   LABORAL: </t>
    </r>
    <r>
      <rPr>
        <sz val="11"/>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</si>
  <si>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t xml:space="preserve">Cumplimiento plan Ambiente y Cultura  Laboral </t>
  </si>
  <si>
    <t xml:space="preserve">Cumplimiento  Plan Implementación Código de Integridad </t>
  </si>
  <si>
    <r>
      <rPr>
        <b/>
        <sz val="11"/>
        <rFont val="Calibri"/>
        <family val="2"/>
        <scheme val="minor"/>
      </rPr>
      <t xml:space="preserve">INTEGRIDAD : </t>
    </r>
    <r>
      <rPr>
        <sz val="11"/>
        <rFont val="Calibri"/>
        <family val="2"/>
        <scheme val="minor"/>
      </rPr>
      <t>Adoptar, Divulgar, ajustar a la entidad y realizar el plan de trabajo para implementación del Código de Integridad</t>
    </r>
  </si>
  <si>
    <t>Númerico</t>
  </si>
  <si>
    <r>
      <rPr>
        <b/>
        <sz val="11"/>
        <rFont val="Calibri"/>
        <family val="2"/>
        <scheme val="minor"/>
      </rPr>
      <t xml:space="preserve">AMBIENTE Y CULTURA ORGANIZACIONAL :
</t>
    </r>
    <r>
      <rPr>
        <sz val="11"/>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 rendición de cuentas.</t>
    </r>
  </si>
  <si>
    <t>Estrategia "Mejorando Ando"</t>
  </si>
  <si>
    <t>Desarrollar una estrategia para fortalecer la cultura del autocontrol y  la autoevaluación en la entidad.
Interrelación con las áreas</t>
  </si>
  <si>
    <t>Plan de Trabajo para la Gestión del Riesgo</t>
  </si>
  <si>
    <t>Programa Anual de Auditoría</t>
  </si>
  <si>
    <t xml:space="preserve">Plan de Mejoramiento </t>
  </si>
  <si>
    <t>Cumplimiento plan de trabajo de Vinculación, Desarrollo Y Crecimiento Y Desvinculación   Laboral</t>
  </si>
  <si>
    <t>Formular el presupuesto armonizando  la planeación estratégica y la programación presupuestal para la toma de decisiones.</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</si>
  <si>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</si>
  <si>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</si>
  <si>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</si>
  <si>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</si>
  <si>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</si>
  <si>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</si>
  <si>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</si>
  <si>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</si>
  <si>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</si>
  <si>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</si>
  <si>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</si>
  <si>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</si>
  <si>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</si>
  <si>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</si>
  <si>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</si>
  <si>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</si>
  <si>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</si>
  <si>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</si>
  <si>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</si>
  <si>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</si>
  <si>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</si>
  <si>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</si>
  <si>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</si>
  <si>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</si>
  <si>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</si>
  <si>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</si>
  <si>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</si>
  <si>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</si>
  <si>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</si>
  <si>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</si>
  <si>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</si>
  <si>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</si>
  <si>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</si>
  <si>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</si>
  <si>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</si>
  <si>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</si>
  <si>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</si>
  <si>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</si>
  <si>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</si>
  <si>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</si>
  <si>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</si>
  <si>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</si>
  <si>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</si>
  <si>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</si>
  <si>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</si>
  <si>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</si>
  <si>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</si>
  <si>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</si>
  <si>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</si>
  <si>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</si>
  <si>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</si>
  <si>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</si>
  <si>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</si>
  <si>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</si>
  <si>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</si>
  <si>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</si>
  <si>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</si>
  <si>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</si>
  <si>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</si>
  <si>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</si>
  <si>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</si>
  <si>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</si>
  <si>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</si>
  <si>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</si>
  <si>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</si>
  <si>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</si>
  <si>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</si>
  <si>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</si>
  <si>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</si>
  <si>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</si>
  <si>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</si>
  <si>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</si>
  <si>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</si>
  <si>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</si>
  <si>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</si>
  <si>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</si>
  <si>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</si>
  <si>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</si>
  <si>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</si>
  <si>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</si>
  <si>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</si>
  <si>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</si>
  <si>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</si>
  <si>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</si>
  <si>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</si>
  <si>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</si>
  <si>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</si>
  <si>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</si>
  <si>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</si>
  <si>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</si>
  <si>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</si>
  <si>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</si>
  <si>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</si>
  <si>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</si>
  <si>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</si>
  <si>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</si>
  <si>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</si>
  <si>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</si>
  <si>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</si>
  <si>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</si>
  <si>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</si>
  <si>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</si>
  <si>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</si>
  <si>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</si>
  <si>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</si>
  <si>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</si>
  <si>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</si>
  <si>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</si>
  <si>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</si>
  <si>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</si>
  <si>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</si>
  <si>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</si>
  <si>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</si>
  <si>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</si>
  <si>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</si>
  <si>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</si>
  <si>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</si>
  <si>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</si>
  <si>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</si>
  <si>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</si>
  <si>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</si>
  <si>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</si>
  <si>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</si>
  <si>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</si>
  <si>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</si>
  <si>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</si>
  <si>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</si>
  <si>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</si>
  <si>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</si>
  <si>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</si>
  <si>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</si>
  <si>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</si>
  <si>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</si>
  <si>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</si>
  <si>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</si>
  <si>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</si>
  <si>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</si>
  <si>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</si>
  <si>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</si>
  <si>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</si>
  <si>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</si>
  <si>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</si>
  <si>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</si>
  <si>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</si>
  <si>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</si>
  <si>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</si>
  <si>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</si>
  <si>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</si>
  <si>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</si>
  <si>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</si>
  <si>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</si>
  <si>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</si>
  <si>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</si>
  <si>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</si>
  <si>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</si>
  <si>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</si>
  <si>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</si>
  <si>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</si>
  <si>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</si>
  <si>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</si>
  <si>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</si>
  <si>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</si>
  <si>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</si>
  <si>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</si>
  <si>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</si>
  <si>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</si>
  <si>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</si>
  <si>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</si>
  <si>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</si>
  <si>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</si>
  <si>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</si>
  <si>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</si>
  <si>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</si>
  <si>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</si>
  <si>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</si>
  <si>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</si>
  <si>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</si>
  <si>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</si>
  <si>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</si>
  <si>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</si>
  <si>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</si>
  <si>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</si>
  <si>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</si>
  <si>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</si>
  <si>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</si>
  <si>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</si>
  <si>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</si>
  <si>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</si>
  <si>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</si>
  <si>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</si>
  <si>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</si>
  <si>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</si>
  <si>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</si>
  <si>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</si>
  <si>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</si>
  <si>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</si>
  <si>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</si>
  <si>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</si>
  <si>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</si>
  <si>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</si>
  <si>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</si>
  <si>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</si>
  <si>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</si>
  <si>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</si>
  <si>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</si>
  <si>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</si>
  <si>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</si>
  <si>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</si>
  <si>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</si>
  <si>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</si>
  <si>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</si>
  <si>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</si>
  <si>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</si>
  <si>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</si>
  <si>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</si>
  <si>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</si>
  <si>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</si>
  <si>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</si>
  <si>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</si>
  <si>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</si>
  <si>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</si>
  <si>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</si>
  <si>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</si>
  <si>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</si>
  <si>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</si>
  <si>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</si>
  <si>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</si>
  <si>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</si>
  <si>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</si>
  <si>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</si>
  <si>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</si>
  <si>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</si>
  <si>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</si>
  <si>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</si>
  <si>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</si>
  <si>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</si>
  <si>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</si>
  <si>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</si>
  <si>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</si>
  <si>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</si>
  <si>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</si>
  <si>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</si>
  <si>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</si>
  <si>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</si>
  <si>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</si>
  <si>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</si>
  <si>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</si>
  <si>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</si>
  <si>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</si>
  <si>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</si>
  <si>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</si>
  <si>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</si>
  <si>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</si>
  <si>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</si>
  <si>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</si>
  <si>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</si>
  <si>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</si>
  <si>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</si>
  <si>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</si>
  <si>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</si>
  <si>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</si>
  <si>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</si>
  <si>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</si>
  <si>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</si>
  <si>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</si>
  <si>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</si>
  <si>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</si>
  <si>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</si>
  <si>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</si>
  <si>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</si>
  <si>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</si>
  <si>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</si>
  <si>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</si>
  <si>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</si>
  <si>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</si>
  <si>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</si>
  <si>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</si>
  <si>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</si>
  <si>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</si>
  <si>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</si>
  <si>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</si>
  <si>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</si>
  <si>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</si>
  <si>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</si>
  <si>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</si>
  <si>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</si>
  <si>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</si>
  <si>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</si>
  <si>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</si>
  <si>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</si>
  <si>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</si>
  <si>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</si>
  <si>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</si>
  <si>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</si>
  <si>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</si>
  <si>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</si>
  <si>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</si>
  <si>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</si>
  <si>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</si>
  <si>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</si>
  <si>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</si>
  <si>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</si>
  <si>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</si>
  <si>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</si>
  <si>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</si>
  <si>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</si>
  <si>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</si>
  <si>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</si>
  <si>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</si>
  <si>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</si>
  <si>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</si>
  <si>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</si>
  <si>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</si>
  <si>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</si>
  <si>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</si>
  <si>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</si>
  <si>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</si>
  <si>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</si>
  <si>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</si>
  <si>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</si>
  <si>
    <t>Ejecución Actividades</t>
  </si>
  <si>
    <t>SEGUIMIENTO PLAN DE ACCIÓN SECTORIAL 2018</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</si>
  <si>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</si>
  <si>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</si>
  <si>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</si>
  <si>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</si>
  <si>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</si>
  <si>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</si>
  <si>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</si>
  <si>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</si>
  <si>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</si>
  <si>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</si>
  <si>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</si>
  <si>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</si>
  <si>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</si>
  <si>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</si>
  <si>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</si>
  <si>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</si>
  <si>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</si>
  <si>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</si>
  <si>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</si>
  <si>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</si>
  <si>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</si>
  <si>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</si>
  <si>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</si>
  <si>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</si>
  <si>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</si>
  <si>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</si>
  <si>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</si>
  <si>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</si>
  <si>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</si>
  <si>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</si>
  <si>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</si>
  <si>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</si>
  <si>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</si>
  <si>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</si>
  <si>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</si>
  <si>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</si>
  <si>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</si>
  <si>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</si>
  <si>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</si>
  <si>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</si>
  <si>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</si>
  <si>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</si>
  <si>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INFOTEP SAN ANDRES</t>
  </si>
  <si>
    <t>ITFIT</t>
  </si>
  <si>
    <t>PROMEDIO</t>
  </si>
  <si>
    <t xml:space="preserve">Cumplimiento del indicador % (Acumulado)           </t>
  </si>
  <si>
    <t>1. Se conformó el equipo de facilitadores de 69 SE. 2. Se cuenta con 64 SE confirmadas de 95 para participar en la ruta de acompañamiento 2018. 3. Se realizó el diseño base del ciclo IV para realizar los protocolos de acompañamiento de secretarías de educación focalizadas y generales.</t>
  </si>
  <si>
    <t>En febrero 243 FNE hacen parte de la estrategia del programa. Por otra parte, la CUN, con quien el MEN suscribió el convenio 1467 de 2017, ha reportado inconvenientes con el proceso de reclutamiento debido a alertas migratorias y alertas de seguridad en algunas regiones de Colombia</t>
  </si>
  <si>
    <t>A marzo se presenta un avance de 199 aulas</t>
  </si>
  <si>
    <t>A marzo se presenta un avance de 259 aulas</t>
  </si>
  <si>
    <t>Corresponde a la formación centralizada a 97 formadores del  programa para Ciclo 1 y a  la de formación descentralizada a tutores de zona 5 en Neiva, Moniquirá y Barrancabermeja. Masivamente, el resto de tutores del país se formará las semanas del 05 al 09 y 12 a 16 de marzo de 2018. </t>
  </si>
  <si>
    <t>Se hará el primer reporte una vez se tenga el consolidado raciones contratadas del primer semestre de 2018</t>
  </si>
  <si>
    <t>Con la Administración Temporal de La Guajira se han articulada acciones y elaborados informes de ejecución de los diferentes proyectos. Se han identificado necesidades de apoyo y alertas importantes relacionadas con la situación de la Guajira y sus 4 ETC (La Guajira, Riohacha, Uribia y Maicao) en todo lo necesario para el inicio de la prestación del servicio educativo: transporte escolar, alimentación escolar y concertación con comunidades indígenas. Se apoyó a la AT en materia de gestión.
Se elaboró propuesta de respuesta respecto a la posición que asumirá el MEN en lo concerniente a las solicitudes de los delegados Wayuú en el marco del CONPES de La Guajira. Se representó al MEN en la mesa técnica del CONPES con comisionados Wayuú. Se expusieron las propuestas del MEN y se actualizó la matriz con la información del MEN ante DNP.
Para el Choco de dio asistencia técnica centrada en proporcionar apoyo al proceso de concertación para la contratación de la educación para las comunidades indígenas en el departamento; a su vez, se realizó revisión del avance en el proceso de alistamiento de la SE para el inicio del calendario escolar en los establecimientos educativos del departamento. Se acompañó en el proceso de concertación y contratación del servicio educativo indígena, logrando que la SE llegará a acuerdos con los operadores indígenas y se firmarán los correspondientes contratos de prestación del servicio educativo en el departamento.
Se realizó el primer encuentro de secretarios de educación los días 15 y 16 de marzo.
Se presto asistencia técnica en: 
SE Dosquebradas, Sahagún y Buenaventura en cuanto a los temas de recursos, planeación y planta.
SE Duitama, Arauca Santa Marta, Facatativá y Chocó en el tema de inspección y vigilancia y estructura organizacional; 
SE a la Gobernación del Chocó, en el proceso de transición administrativa, componentes: cobertura, financiera y calidad.
SE de la Guajira , en cuanto a la organización del sistema de archiv</t>
  </si>
  <si>
    <t>"1- Taller ""Caminos hacia la lectura y la escritura" a las SE Santa María de La Antigua y San Francisco de Asís del municipio de Apartadó, Antioquia. 75 participantes2- Encuentro de formación de PBE con tutores de la Fundación Global Humanitaria"</t>
  </si>
  <si>
    <t>El 01 de febrero se sostuvo reunión con los miembros sindicales Usdidoc, Sindodic, Sintrenal Utradec -CGT, en el marco de la mesa de trabajo para la formulación de los lineamientos de política de bienestar laboral.
Coordinación del desarrollo de la fase zonal de los juegos del magisterio colombiano en la ciudad de Pasto.
El día 09 de marzo de 2018, se llevó a cabo reunión con la mesa en donde se definió el instrumento de encuesta que se aplicará a docentes, directivos docentes y administrativos de las instituciones educativas oficiales con el fin de establecer las necesidades de bienestar laboral. Adicionalmente en esa sesión también se definió la estructura del documento de política.
Del 01 al 04 de marzo se llevó a cabo la fase zonal en la ciudad de Pasto contando con la participación de 380 directivos docentes, docentes y administrativos deportistas de las entidades territoriales de Cauca, Choco, Nariño y Valle.</t>
  </si>
  <si>
    <t>Durante este mes, se contempló el 100% de entrega de libros de trabajo en inglés de la serie Way to GO! a grados 6, 7 y 8. Es decir se entregaron 201.626 libros a 370 establecimientos educativos focalizados por el programa Colombia Bilingüe.</t>
  </si>
  <si>
    <t>Se remitieron a Innovación las preguntas para el cargue en la plataforma para la primera aplicación de Supérate con el Saber. Por lo cual se inicio el proceso de diagramación y maquetación para el ambiente virtual</t>
  </si>
  <si>
    <t>1 - Taller de activación dirigido a estudiantes de las sedes educativas Santa María de La Antigua y San Francisco de Asís del municipio de Apartadó, Antioquia.</t>
  </si>
  <si>
    <t>'Durante el mes de febrero el equipo organizador del FEN 2018 adelanto actividades de alistamiento relacionadas con el evento</t>
  </si>
  <si>
    <t>Correponde al acompañamiento a docentes y DD para el ciclo de apertura de la ruta de formación y acompañamiento. El énfasis en docentes de transición, 3 y 5 y  acompañamiento al docente para familiarizarlo con los instrumentos de caracterización del nivel de fluidez</t>
  </si>
  <si>
    <t>En realización de gestiones, revisión, estructuración y diseño para la el inicio de la oferta de cursos.</t>
  </si>
  <si>
    <t>Se trabajó en el desarrollo de los contenidos para los materiales Dia E - Dia E Familia, se definió la versión definitiva del diseño de la caja de materiales Día E - Día E Familia así como el diseño el taller Día E, se avanza en la contratación de impresión y distribución de materiales.
Se aprobó versión final de la diagramación del taller Día E Familia; se adjudicó la firma Legislación económica para impresión y la firma Portes de Colombia para Distribución, el ISCE está en construcción.</t>
  </si>
  <si>
    <t>En el mes de marzo se realizaron 82 asistencias técnicas (AT) de manera presencial; las cuales se encuentran distribuidas en los siguientes componentes: Financiero: 26 Jurídico: 5 Sistemas de Información 2 Técnico Alimentario: 2 Proyectos Estratégicos: 8 Monitoreo y control: 39</t>
  </si>
  <si>
    <t>Se realizó el seguimiento a la implementación del servicio de Preescolar integral en 27 municipios de 11 entidades territoriales certificadas en Educación. Adicionalmente se hizo seguimiento a la matricula reportada en SIMAT de las aulas de preescolar</t>
  </si>
  <si>
    <t>Se viene adelantando un proceso licitatorio para contratar firma o firmas para apoyar el fortalecimiento de la permanencia de los estudiantes en el sistema educativo a través de la implentación de MEF. La regionalización se reportará tan pronto se este ejecutando el contrato para la vigencia 2018.</t>
  </si>
  <si>
    <t>Se viene adelantando el proceso de licitación que tiene como fin la atención a adultos a través del PNA. La regionalización se realizará tan pronto se comience a reportar la matricula, a través del contrato y convenio para la vigencia 2018. Se anexa avance cualitativo.</t>
  </si>
  <si>
    <t>se realizó el diseño y publicación del Boletín PAEstaraldía del mes, la socialización de la nueva disposición de la imagen institucional, la recopilación y revisión semanal de Logros, Hitos y Alertas del Programa, la solicitud y oganización de eventos de socialización del PAE, la revisión de videos de Bolsa Común y conformación del Comité de Alimentación Escolar. Además, se participó en la elaboración del documento de  reforma estructural propuesto por el Ministerio de Educación al Gobierno Nacional para una mejor ejecución  del  PAE  y  se  realizó  la  difusión  de  actividades  tales  como  socialización  de  las videoconferencias y eventos relacionados con la promoción del programa. 
Además, se elaboró el plan de eventos del mes de febrero y marzo para la capacitación de rectores  en  todo  el  país  y  se  diseñó  una  encuesta  de  necesidades  de  capacitación  y asistencia técnica dirigida a todas las Entidades Territoriales Certificadas en educación para una adecuada organización de un plan de capacitación de las mismas.</t>
  </si>
  <si>
    <t>A marzo se presenta un avance de 78 proyectos</t>
  </si>
  <si>
    <t>En acompañamiento pedagógico situado se suscribió un Convenio con la Fundación Carvajal para el acompañamiento pedagógico situado de 627 maestras en 10 entidades territoriales. Las 2 entidades restantes se focalizarán con las maestras que participan del MAS en el marco del programa de preescolar.
En Convenio Corpoeducación se desarrolla primera fase: alistamiento, definición plan de acción para la consolidación de la Estrategia de Excelencia Docente. Categorías para revisión documental y Mesa técnica para orientar sobre las acciones desarrolar.
En Convenio con CORPOEDUCACIÓN se desarrollan mesas técnicas y revisión de avances de la metodología para la consolidación del documento de la estrategia de excelencia docente que contempla revisión documental, avance del documento en articulación</t>
  </si>
  <si>
    <t>En el mes de febrero, se adelantaron 2 asistencia técnicas. En el mes de marzo, se adelantaron 4 asistencia técnicas.</t>
  </si>
  <si>
    <t>Desde Permanencia se viene adelantando el proceso de licitación con el IN-2018-0617.</t>
  </si>
  <si>
    <t>Desde la Subdirección de Permanencia se realizó durante el mes de febrero del 2018 asistencia técnica a las siguientes 26 secretarías de educación. Se anexa avance cualitativo del indicador.</t>
  </si>
  <si>
    <t>Se realizó la inducción al equipo para las fases 3 y 4 y se elaboraron los planes de acompañamiento a las 50 secretarías de educación.Se realizó la inducción al equipo de trabajo del convenio 849 de 2018 y se realizaron las aperturas en las SE de Cúcuta, Norte de Santander, Cauca, Popayán, Cesar y Valledupar. Se realizaron las de reuniones de apertura fases 3 y 4 en las 50 SESe realizaron las aperturas en las 20 SE focalizadas en el convenio 849/2018, se firmaron los planes de trabajo con cronograma para la articulación e implementación del MGEI. Se avanzó en el desarrollo de la fase de implementación con las 50 SE focal</t>
  </si>
  <si>
    <t>Al mes de marzo no se ha adjudicado la beca.</t>
  </si>
  <si>
    <t>Al mes de marzo se han adjudicado 26 nuevos créditos para población indígena, sin embargo el fondo tiene al 31 de marzo 1.013 beneficiarios legalizados que se encuentran en proceso de giro.</t>
  </si>
  <si>
    <t>Al mes de marzo se han efectuado 400 adjudicaciones,
Se desembolsaron 57 créditos para sostenimiento y se renovaron 2.150 créditos para población víctima.</t>
  </si>
  <si>
    <t>Al mes de marzo se desembolsaron 2.337 créditos con subsidio de tasa.</t>
  </si>
  <si>
    <t>Al mes de marzo no se han efectuado adjudicaciones para población en condición de discapacidad, teniendo en cuenta que ICETEX se encuentra a la espera de la definicion de metas por parte del Ministerio de Educacion Nacional.</t>
  </si>
  <si>
    <t>Al mes de marzo no se han adjudicado nuevos créditos para población afrodescendiente, sin embargo, el fondo inició su proceso de legalización para el periodo 2018-1 con el cual se ha logrado para el cierre de marzo un total de 298 beneficiarios legalizados.</t>
  </si>
  <si>
    <t>Al mes de marzo no se han adjudicado nuevos créditos para población RROM, sin embargo, se encuentran 5 beneficiarios legalizados, para posteriormente iniciar con el proceso de giro.
Al mes de marzo se han efectuado 20 renovaciones para ésta población.</t>
  </si>
  <si>
    <t>Al mes de marzo se efectuaron 5.525 renovaciones para población afrodescendiente.</t>
  </si>
  <si>
    <t xml:space="preserve">Al mes de marzo no se han adjudicado nuevos créditos para maestros. ICETEX se encuentra a la espera de que el Ministerio de Educacion Nacional defina el numero de adjudicados para el 2018. </t>
  </si>
  <si>
    <t>Al mes de marzo no se han efectuado condonaciones a mejores Saber Pro. Estas condonaciones se efectuaran en el transcurso del año.</t>
  </si>
  <si>
    <t>Al mes de marzo se renovaron 3.092 créditos para médicos.</t>
  </si>
  <si>
    <t>Al mes de marzo se renovaron 65.866 créditos con subsidio de tasa.</t>
  </si>
  <si>
    <t>Al mes de marzo se renovaron 677 créditos para maestros.</t>
  </si>
  <si>
    <t>No presenta reporte de avance en el Sistema de Seguimiento a Proyectos de Inversión SPI</t>
  </si>
  <si>
    <t xml:space="preserve">Al mes de marzo no se han otorgado nuevas becas para maestría y doctorado y se efectuaron 28 renovaciones. </t>
  </si>
  <si>
    <t xml:space="preserve">Se situaron a través del PAC $252.234.578.340 para disminución de la tasa de interes. </t>
  </si>
  <si>
    <t>Al mes de marzo se efectuaron 3.168 renovaciones para población indígena.</t>
  </si>
  <si>
    <t>Durante el mes de enero no se realizó acompañamientos a las IES debido al periodo de vacaciones, se diseño el plan de eventos con el cual se llevara a cabo este acompañamiento en 2018.En el mes de febrero se realizo a 10 IES acreditadas la socialización del Modelo de evaluación por Referentes de calidad.El 1 de marzo se realizo socializacion del modelo de eveluacion por referentes con los directores de las asociaciones de facultades de IES y el 13 de marzo con la Dirección de formación del SENA.</t>
  </si>
  <si>
    <t>En el mes de enero se recibieron 43 solicitudes. 3 pasaron a selección de pares y 39 están en revisión de completitud.Hasta el mes de febrero se han recibido 61 solicitudes. 52 pasaron a selección de pares y 9 están en revisión de completitud.En el mes de marzo se recibieron 37 solicitudes para un acumulado de 98 durante los meses de enero a marzo. Todos estos procesos ya pasaron revisión de completitud y pasaron a selección de pares.</t>
  </si>
  <si>
    <t>Al mes de marzo se han renovado 44.919  subsidios de sostenimiento.Estos subsidios serán efectuados en el transcurso del año.</t>
  </si>
  <si>
    <t>Al mes de marzo se han adjudicado 158 subsidios de sostenimiento. Estos subsidios serán efectuados en el transcurso del año.</t>
  </si>
  <si>
    <t xml:space="preserve">*Al mes de marzo se han efectuado 5.770 giros de adjudicación de nuevos pilos.
*Se han efectuado 5.759 giros de nuevos subsidios para Ser Pilo Paga.
* Se han efectuado 21.774 giros de renovación de Ser Pilo Paga.
* Han renovado 27.970 beneficiarios el Subsidio de Sostenimiento del programa Ser Pilo Paga.
</t>
  </si>
  <si>
    <t>Al mes de marzo se han renovado 44.919  subsidios de sostenimiento. Estos subsidios serán efectuados en el transcurso del año.</t>
  </si>
  <si>
    <t>Al mes de marzo no se han efectuado adjudicaciones para población en condición de discapacidad, teniendo en cuenta que ICETEX se encuentra a la espera de la definición de metas por parte del Ministerio de Educación Nacional.</t>
  </si>
  <si>
    <t>Al mes de marzo se han efectuado 801 condonaciones del 25%.</t>
  </si>
  <si>
    <t>Al mes de marzo no se han desembolsado nuevos créditos a los mejores bachilleres, sin embargo se tienen 46 nuevos beneficiarios legalizados.
No se ha suscrito el convenio respectivo para adjudicar la Beca  "Omaira Sánchez" e ICETEX se encuentra a la espera de las directrices por parte del Ministerio de Educación Nacional.
Se efectuó 2 renovaciones de la Beca "Jóvenes ciudadanos de Paz"</t>
  </si>
  <si>
    <t>Al mes de marzo se renovaron 291 subsidios a los mejores bachilleres.</t>
  </si>
  <si>
    <t xml:space="preserve">Al mes de marzo no se han adjudicado nuevos créditos para maestros. ICETEX se encuentra a la espera de que el Ministerio de Educación Nacional defina el numero de adjudicados para el 2018. </t>
  </si>
  <si>
    <t xml:space="preserve">Se situaron a través del PAC $252.234.578.340 para disminución de la tasa de interés. </t>
  </si>
  <si>
    <t>Con base en lo programado en el anteproyecto de presupuesto para 2018, se obtuvieron los costos de las etapas de la cadena de valor para cada una de las áreas misionales del Instituto</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</si>
  <si>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</si>
  <si>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 xml:space="preserve">Se realizó la calificación de las pruebas Saber 3,5,9 -2017 y  Saber Pro y TyT 2017-3, aplicando la metodología de calificación de 3PL, como se estableció a partir del año 2016. 
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
</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</si>
  <si>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</si>
  <si>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</si>
  <si>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</si>
  <si>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Proceso de publicación del paper "Hasta dónde fortaleces, una evaluación de impacto de la estrategia pioneros " en la revista de Lecturas de Economía.
En proceso de ejecución se encuentran 15 proyectos de investigación.</t>
  </si>
  <si>
    <r>
      <t>Se brindó asistencia técnica a</t>
    </r>
    <r>
      <rPr>
        <b/>
        <sz val="16"/>
        <rFont val="Calibri"/>
        <family val="2"/>
        <scheme val="minor"/>
      </rPr>
      <t xml:space="preserve"> 54</t>
    </r>
    <r>
      <rPr>
        <sz val="12"/>
        <rFont val="Calibri"/>
        <family val="2"/>
        <scheme val="minor"/>
      </rPr>
      <t xml:space="preserve">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r>
  </si>
  <si>
    <r>
      <t>Se produjeron</t>
    </r>
    <r>
      <rPr>
        <b/>
        <sz val="18"/>
        <rFont val="Calibri"/>
        <family val="2"/>
        <scheme val="minor"/>
      </rPr>
      <t xml:space="preserve"> 99.932 </t>
    </r>
    <r>
      <rPr>
        <sz val="12"/>
        <rFont val="Calibri"/>
        <family val="2"/>
        <scheme val="minor"/>
      </rPr>
      <t xml:space="preserve">libros y textos escolares en formatos accesibles de braille, relieve, macrotipo y digitales y otras ayudas técnicas para la población con discapacidad visual en el primer trimestre del año discriminados así: 
Enero: Se realizó la producción de 2 titulos para un total de 540 ejemplares
Febrero: Se realizó la producción de 90.000 tarjetones electorales, 8.000 calendarios tributarios para el Banco Sudameris, 100 folletos para cliente externo y 100 decalogo del periodista para Comunicaciones
Marzo: Se realizó la Impresión de 220 unidades de los  Decretos 2011 de 2017,  Decreto 392 de 2018 y Decreto 2177 de 2017en  Tinta Braille, reimpresión de 500 calendarios INCI y 32 avisos para clientes externos
De acuerdo con lo anterior, se evidencia que el cumplimiento dela meta se encuentra por encima de lo establecido, por lo cual es necesario hacer la gestión para la reformulación del proyecto en el SUIFP. </t>
    </r>
  </si>
  <si>
    <r>
      <t>Se produjeron 27</t>
    </r>
    <r>
      <rPr>
        <b/>
        <sz val="16"/>
        <rFont val="Calibri"/>
        <family val="2"/>
        <scheme val="minor"/>
      </rPr>
      <t xml:space="preserve">00 </t>
    </r>
    <r>
      <rPr>
        <sz val="12"/>
        <rFont val="Calibri"/>
        <family val="2"/>
        <scheme val="minor"/>
      </rPr>
      <t xml:space="preserve"> libros y textos escolares en formato digital accesible para las personas con discapacidad visual </t>
    </r>
  </si>
  <si>
    <r>
      <t>Se realizaron</t>
    </r>
    <r>
      <rPr>
        <b/>
        <sz val="16"/>
        <rFont val="Calibri"/>
        <family val="2"/>
        <scheme val="minor"/>
      </rPr>
      <t xml:space="preserve"> 865</t>
    </r>
    <r>
      <rPr>
        <sz val="12"/>
        <rFont val="Calibri"/>
        <family val="2"/>
        <scheme val="minor"/>
      </rPr>
      <t xml:space="preserve"> descargas de libros digitales accesibles de la biblioteca virtual para personas con discapacidad visual </t>
    </r>
  </si>
  <si>
    <t>Durante el primer trimiestre del año se definió el modelo de asesoría en torno al decreto 1421/2017 y la ruta de implementación para el trabajo con las secretarías de educación.
Se adelantaron acciones de asesoría en 8 entidades territoriales:
1. Bogotá (Convenio SDIS, convenio Caro y Cuervo, IE La Esperanza)
2. Cundinamarca (convenio con la SED)
3. Villavicencio
4. Bucaramanga
5. Ibagué
6. Cali
7. Barranquilla
8. Fusagasugá
Así mismo, se cualificaron 381 agentes educativos</t>
  </si>
  <si>
    <t>Conforme a lo presupuestado, se realizan acciones para la formulación del la estructura del documento Estrategia de Atención integral para el mejoramiento de la calidad educativa de la población sorda, el cual se desarrollara conforme al desarrollo de las acciones presupuestadas para tal fin.</t>
  </si>
  <si>
    <t>Se ha avanzado en el desarrollo de procesos de asesoría y asistencia técnica sobre criterios de inclusion a estudiantes sordos en educación superior a Fundacion Universitaria San Alfonso , Universidad Distrital, UNAD, Unidades tecnologícas de Santander .</t>
  </si>
  <si>
    <t xml:space="preserve">PRUEBAS SABER: Se avanzó en la formulacion y aprobacion del plan de tranajo que conduzca a la traduccion en LSC  de los items de la prueba Saber 11 / 2018 para población sorda , la estrategia de asesoria para estudiantes y colegios con dicha pobalción en grado 11 y la produccion de items liberados en LSC para la preparación de los estudiantes sordos antes de la prueba.
Con respecto a la producción de 120 contenidos accesibles, durante el primer trimestre del año se ha avanzado así: 4 Lecciones y 3 Clases en vivo. Total trimestre: 7 productos. 
La región Caribe - módulo de ciencias sociales: Dos lecciones y Organización celular - módulo de ciencias naturales: Dos lecciones
Clases en vivo:
23 de marzo:  Ciencias Naturales
                          https://www.youtube.com/watch?v=LFkYjvT45mg&amp;t=3s
16 de marzo:  Accidentes Geográficos
                         https://www.youtube.com/watch?v=oUZHRMJSetY&amp;t=908s
8 de marzo:  Democracia y elecciones
                       https://www.youtube.com/watch?v=cU79m7Fvvb8&amp;t=641s
</t>
  </si>
  <si>
    <t xml:space="preserve">En la actividad referida a la elaboración de un documento de orientaciones para la apertura y gestión de programas de formación de intérpretes en IES, se implementaron las sigientes acciones: (a)  Se realizó revisión de videos en LSC de acciones desarrolladas en el marco de la alianza con el SENA y de los cinco videos en LSC de la Norma Sectorial de Competencia laboral de intérpretes y guías intérpretes que se encuentran en la página web institucional. (b)  Se realizó reunión con profesionales del SENA con el fin de establecer acuerdos para dar continuidad al proceso para la elaboración de programa de formación de intérpretes y traductores de LSC-español. (c) Reunión con representantes de la Universidad Distrital Francisco José de Caldas. Se envían documento justificando la necesidad de la formación de intérpretes y traductores, y (d) Elaboración de la propuesta de la estructura del documento de orientaciones para la apertura y gestión de programas de formación de intérpretes en Instituciones de Educación Superior -IES y avances del mismo.      </t>
  </si>
  <si>
    <t xml:space="preserve">Se dio cumplimiento de las actividades programadas para el otorgamiento de credito  planeado para el primer trimestre,  lo pendiente esta sujeto a la aprobación del comité de credito previsto para el mes de abril . En el desarrollo de las actividades para el otorgamiento del crédito, se colocaron 1000 millones.  </t>
  </si>
  <si>
    <t>En la realización del  Foro Financiamiento de Educacion Superior, convenios para administración  recursos  y alianzas estrategicas, 59 IES afiliadas utilizaron estos servicios</t>
  </si>
  <si>
    <t>Se realizaron las actividades programadas para incrementar el numero de IES afiliadas al FODESEP, logrando la afiliacion de 2 nuevas IES</t>
  </si>
  <si>
    <t>Se fortalece las Relaciones Interinstitucionales con la participación en 11 eventos donde se logró un  posicionamiento de FODESEP</t>
  </si>
  <si>
    <t>Se efectuaron el total de  las actividades programadas para realización de la XXIII Asamblea General de FODESEP</t>
  </si>
  <si>
    <t xml:space="preserve">En la realización de la XXIII Asamblea General de FODESEP  se conto con un numero mayor de participantes de lo esperado </t>
  </si>
  <si>
    <t>Se aplico la encuesta de satisfacción a los participantes de la XXIII asamblea general Ordinaria las  fueron recolectadas un total de 77% encuestas del 100% de asistentes</t>
  </si>
  <si>
    <t>Se efectuaron el total de  las actividades  programadas  del plan de mejoramiento 2017 para el primer trimestre dando como resultado 100%</t>
  </si>
  <si>
    <t>Se realizaron las actividades proyectadas de verificacion de la participacion IES en las sesiones convocadas, dando como resultado un 17%</t>
  </si>
  <si>
    <t>Se realizaron las actividades proyectadas de verificación de la participacion IES en las sesiones convocadas, dando como resultado un 17%</t>
  </si>
  <si>
    <t>Se realizaron las actividades proyectadas  la participación  en eventos de defensade FODESEP, dando como resultado un 18%</t>
  </si>
  <si>
    <t xml:space="preserve">A la fecha se llevan un avance de 2 estrategias de fortalecimiento comeercial </t>
  </si>
  <si>
    <t xml:space="preserve">El área comercial se encontraba enfocada a la realización de la caracterización de las IES afilidadas al FODESEP y que se reprogramaron para el segundo trimestre del año </t>
  </si>
  <si>
    <t>Se está trabajando en los resultados de la caracterización de Bachillerato y padres de familia, para dar inicio con la segunda fase de caracterización</t>
  </si>
  <si>
    <t>Se realizo el cargue de los documentos maestros en la plataforma del CNA</t>
  </si>
  <si>
    <t xml:space="preserve">Este avance del 50% está representado  en la visita de los pares los dias 15, 16 y 17 de marzo  para validar los documentos maestro de los programas por ciclo propeuticos Técnica Profesional Operación de Sistemas de Manejo Ambiental, Tecnología en Gestión Ambiental, </t>
  </si>
  <si>
    <t>La institución cuenta con una estrategia marketing que fue actualizada para el 2018</t>
  </si>
  <si>
    <t>Este avance del 0%  está representado en para el primer semestre no se han aprovado ninguana solicitud de apoyo para formación de docentes para posgrados</t>
  </si>
  <si>
    <t>Este avance del 25% está representado:1)  En la preparación del informe de analisis y evaluación de las pruebas Saber Pro, lo cual fue socializado a los docentes en la semana de planeación academica; 2) Se formulo el plan de acción saber pro para vigencia 2018; 3) Se han realizado talleres  a docentes y estudiantes para mejorar sus competencias en la pruebas saber pro</t>
  </si>
  <si>
    <t>Este avance del 25% está representado en las capacitaciones que se hicieron a los docentes durante la semana de la planeación academica: una sobre saber pro y otra sobre el Modelo Pedagogico.</t>
  </si>
  <si>
    <t>Este avance del 50% está representado: 1) Se pasaron de 5 instituciones articuladas  en el 2017 a 7 en el 2018, que fueron dos colegios del municipio de vilanueva, el Roque de alba y los fundadores; 2) Se realizo un proceso de indución con las instituciones de San Juan del Cesar.</t>
  </si>
  <si>
    <t>Este avance del 25% está representado:1) Se formulo el Plan de Acción del Proceso de Investigación cuyas actividades estan orientadas a fortalecer los grupos de investigación categorizados por COLCIENCIA, lo cual se puede evidenciar en el Plan de Acción  institucional publicado en la pagina Weeb en el link https://drive.google.com/file/d/1OXdnZEyAjtJLt3g3AClJdn1FnYCU_Dmf/view?usp=sharing; 2) En la semana del 26 al 28 de febrero se reunieron los grupos de investigación para realizar un autodiagnostico y definir un plan de mejora</t>
  </si>
  <si>
    <t xml:space="preserve">En el 1 trimestre 122 estudiantes discriminados así :CURSO DE IDIOMAS (INGLÉS) 55 
TECNICO LABORAL EN PRIMERA INFANCIA 26 
CURSO INDUCCION DOCENTE 27 
SEMINARIO TALLER IDENTIDAD CULTURAL 14
</t>
  </si>
  <si>
    <t>Se encuentra en ejecución la campalña de comunicación</t>
  </si>
  <si>
    <t>Se cuenta con la campaña de divulgación Yo creo en Infotep, donde se muestran los avances realizados y alineados con el Plan de Desarrollo Institucional</t>
  </si>
  <si>
    <t>Se contrató profesional para la gestión de la proyección social y relaciones comunitarias del INFOTEP por 9 meses; adicionalmente se aportaron recursos  por tres millones para el contrato de un operador logístico.</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</si>
  <si>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</si>
  <si>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No se han realizado capacitaciones, sin embargo existen los estudios previos para abrir el proceso de convoctaria para la contratacion de cursos de fortalacimiento de Grupos de investigación.</t>
  </si>
  <si>
    <t>A la fecha aun no se asisten a eventos de investigación; se tiene estimado asistir a un intercambio de saberes con el semillero a finales del mes de Mayo.</t>
  </si>
  <si>
    <t xml:space="preserve">Se avanzó en la inclusion de la institución en la Red de emprendimiento Departamental; a su vez se creo la unidad de emprendimeinto del instituto. </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</si>
  <si>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</si>
  <si>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t>No se ha iniciado proceso.</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</si>
  <si>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</si>
  <si>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r>
      <rPr>
        <u/>
        <sz val="10"/>
        <rFont val="Arial"/>
        <family val="2"/>
      </rPr>
      <t>Reporte de Gestión Académic</t>
    </r>
    <r>
      <rPr>
        <sz val="10"/>
        <rFont val="Arial"/>
        <family val="2"/>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10"/>
        <rFont val="Arial"/>
        <family val="2"/>
      </rPr>
      <t>Reporte de Bienestar Estudianti</t>
    </r>
    <r>
      <rPr>
        <sz val="10"/>
        <rFont val="Arial"/>
        <family val="2"/>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</si>
  <si>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 xml:space="preserve">Entre las actividades desarrolladas por bienestar durante este trimestre estan: ciclopaseo, conmemoración del dia de la mujer y del hombre, campañas de salud y de desarrollo humano. </t>
  </si>
  <si>
    <t xml:space="preserve">Se inició el trámite para la contratación del servicio. </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</si>
  <si>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</si>
  <si>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Se estan llevando a cabo las actividades del Plan de Bienestar Social e Incentivos, Plan Institucional de Capacitacion. Se proyecta una evaluacion para determinar el impacto del Fortalecimiento y desarrollo del Talento Humano.</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</si>
  <si>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</si>
  <si>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Se visitó a la Uniremington en medellín, promocionando la inmersión del centro de lenguas. Se contrató una empresa para la expedición de los tiquetes para promocionar el centro de lenguas.</t>
  </si>
  <si>
    <t>Se realizó la celebración del dia de la lengua materna.</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</si>
  <si>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</si>
  <si>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Corrresponde al contrato de la coordinadora del Proyecto. (9 meses)</t>
  </si>
  <si>
    <t>Ya se realizaron los Estudios previos y se solicitó el certificado de disponibilidad presupuestal. Igualmente se allegaron al area de contratación las cotizaciones de posibles oferentes.</t>
  </si>
  <si>
    <t>Corresponde al contrato del personal a cargo del mantenimiento de los equipos. ( 10 meses)</t>
  </si>
  <si>
    <t>Pertenece al proceso de apoyo logístico. Se entregó al area de contratacion los certificados de disponibilidad presupuestal.</t>
  </si>
  <si>
    <t>La labor con la Instituciones de la Media para lograr que los estudiantes Articulen con el INFOTEP, se realizó a principios del Año con las siguientes instituciones vinculadas: Sagrada Familia, Bolivariano, Flowers Hill, Brooks Hill, Inedas, Junin (PVA).</t>
  </si>
  <si>
    <t>La vinculación del Personal quien desarrollará la estrategia ya se encuentra laborando. Ya se han iniciado los procesos con los padres de familia.</t>
  </si>
  <si>
    <t>Corrresponde al contrato de la profesional en psicologia del Proyecto. (10 meses)</t>
  </si>
  <si>
    <t>Ya se solicitó el certificado de disponibilidad presupuestal y se netregaron los estudios previos al area de contratacion</t>
  </si>
  <si>
    <t>Esta actividad se realiza al final de cada semestre.</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</si>
  <si>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</si>
  <si>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En el primer semestre /2018-I), se matricularon en primer semestre 395 estudiantes en los diferentes programas técnicos profesionales .</t>
  </si>
  <si>
    <t>En el primer semestre (2018-I), el total de estudiantes matriculados en los diferentes programas técnicos profesionales asciende a 951 estudiantes.</t>
  </si>
  <si>
    <t>Se inicio trabajo para documentar las condiciones de calidad de los 10 programas por ciclos propedéuticos que se radicaran en SACES en la vigencia</t>
  </si>
  <si>
    <t>El plan de trabajo para adelantar el proceso de autoevaluación institucional que cobija todos los programas técnicos profesionales de la institución, avanza de acuerdo a lo planeado.</t>
  </si>
  <si>
    <t>A la fecha de corte se han matriculado 200 estudiantes en los diferentes programas de educación para el trabajo y desarrollo Humano, que equivalen a 50 estudiantes mas de lo esperado para el primer semestre</t>
  </si>
  <si>
    <t xml:space="preserve">A la fecha de corte solo se ha ejecutado el 7% de los recursos de inversión. Esto se debe a la no asignación de PAC por parte del Ministerio de Hacienda para adelantar los procesos contractuales.  </t>
  </si>
  <si>
    <t>Se formularon 2 proyectos nuevos para solicitar recursos de para la vigencia 2019, los cuales cumplen con la nueva metodología de cadena de valor del DNP</t>
  </si>
  <si>
    <t>Se formuló plan de acción para la vigencia 2018 y se publico oportunamente en la pagina web. Se realzo el primer seguimiento trimestral</t>
  </si>
  <si>
    <t xml:space="preserve">A la fecha de corte el avance del plan de acción de la oficina de internacionalización asciende al 20% de las actividades programadas. </t>
  </si>
  <si>
    <r>
      <t>A la fecha se ha brindado asistencia técnica a</t>
    </r>
    <r>
      <rPr>
        <b/>
        <sz val="16"/>
        <rFont val="Calibri"/>
        <family val="2"/>
        <scheme val="minor"/>
      </rPr>
      <t xml:space="preserve"> 151 </t>
    </r>
    <r>
      <rPr>
        <sz val="12"/>
        <rFont val="Calibri"/>
        <family val="2"/>
        <scheme val="minor"/>
      </rPr>
      <t>entidades de la administración pública en implementación y/o mejoramiento de procesos para el goce efectivo de los derechos de las personas con discapacidad visual.</t>
    </r>
  </si>
  <si>
    <t>A la fecha se realizó la producción de 286.658 unidades de tarjetas electorales para elecciones presidenciales, para clientes externos, e impresos solicitados por subdirección
Dado que el cumplimiento de esta meta esta por encima de lo planeado, se reformuló en el proyecto de mejoramiento de la calidad de la dotación en el SUIFP pero en este momento se encuentra en revisión por parte el DNP</t>
  </si>
  <si>
    <t xml:space="preserve">A junio 30 de 2018, se han producido 5536 libros y textos escolares en formato digital accesible para las personas con discapacidad visual </t>
  </si>
  <si>
    <t>Al finalizar el primer semestre del año se han descargado 1308 libros por parte de las personas con discapacidad visual</t>
  </si>
  <si>
    <t>En el 2 trimestre el número total de estudiantes fue de 96 discriminados así :CURSO DE IDIOMAS (INGLÉS)71, y Primera Infancia 25</t>
  </si>
  <si>
    <t>Se ejecutó una estrategia  en el marco del día mundial del medio ambiente y 2 campañas de divulgación enfocadas en la  III jornada de limpieza del borde costero y concurso de compromiso ambiental</t>
  </si>
  <si>
    <t>Para el segundo trimestre se realizó una (1) alianza con la FAC, Secretaria de desarrollo social, ICBF y comunidad del sector del Barrack para la jornada de la celebracion del dia de la familia</t>
  </si>
  <si>
    <t>Se realizaron reuniones periodicamente  para fortalecer los proyectos generados y liderados por el semillero de investigacion.</t>
  </si>
  <si>
    <t>El grupo de investigacion realizó el curso: Plataforma SCIENTI Y CATEGORIZACION DE GRUPOS teniendo como objetivo participar en la proxima convoctaroia de colciencia para categorizacion de grupos.</t>
  </si>
  <si>
    <t>Se realizó intercambio de saberes con la institucion COLMAYOR.</t>
  </si>
  <si>
    <t>Inclusion en la Rede de emprendimeinto departamental.</t>
  </si>
  <si>
    <t xml:space="preserve">Fue adjudicada contratación a IES para que poye la creación de la nueva oferta académica basado en el estudio de mercado que la institución realizó en diciembre del año pasado. La IES ya se encuentra trabajando en los documentos  maestros con   las quince condiciones de calidad establecidas por el ministerio de educación nacional. </t>
  </si>
  <si>
    <t>Se estableció alianza con IES para la profesionalización de nuestros egresados y otros interesados en las carrera de Administración de empresas y contaduria Pública.</t>
  </si>
  <si>
    <t>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Se participó en el Taller de...</t>
  </si>
  <si>
    <t>Acceso y Permanencia: Se esta adelantando convenio con el Departamento de la Prosperidad Social DPS, para que nuestros estudiantes participen en la iniciativa Jovenes en Acción.</t>
  </si>
  <si>
    <t>Durante el segundo trimestre 2018 desde el área de bienestar se han realizado las siguientes actividades orientadas a Implementar el Plan de Acceso permanencia y graduación: Adquisición de los bonos de transporte la adquisición de las camisetas para la limpieza del borda costero, inicio del trámite para la adquisición de las agendas institucionales,continuan los seguimiento a los casos de posibles deserciones, practicas y presentación del grupo de danzas tipicas y contemporaneas institucional, evaluación y asesoria deportiva, atención al gimnasio, atención por parte del área de salud y psicología, microferia de servicios.</t>
  </si>
  <si>
    <t xml:space="preserve">Entre las actividades desarrolladas por bienestar durante este trimestre estan: Taller "Cultura de Paz y Derechos Humanos, Prevención del Tabaquismo, Taller de Enfermedades Crónicas no Transmisibles (toma de talla, peso, tamizaje y glucometria), Charla-taller sobre alementación Saludable (educación en nutrición), Charla Sexualidad responsable, Prevención de ITS, Planificación Familiar.   </t>
  </si>
  <si>
    <t xml:space="preserve">Las ejecución de estas actividades se han desarrollado en su mayoría, no solo se han realizado asesorias desde el área de salud, psicología y deporte, tambien se han desarrollado las actividades desde el áera de Recreación y Deporte y Desarrollo Humano.  </t>
  </si>
  <si>
    <t>Participación de 6 funcionarios de la institución en actividad académica denominada Diplomado internacional sobre protocolo de estado y ceremonial diplomático.</t>
  </si>
  <si>
    <t>Participacion en el estudio que esta realizando la RCI Nodo norte  de los ejes: Gestión de la iInternacionalización e Internacionalización del Currículo.</t>
  </si>
  <si>
    <t>Se visitó a la Uniremington en medellín, promocionando la inmersión del centro de lenguas. Se contrató una empresa para la expedición de los tiquetes para promocionar el centro de lenguas. Se mandaron a imprimir flyers para la inmersión del centro de lenguas y cultura</t>
  </si>
  <si>
    <t>Se realizó la celebración del dia de la lengua materna. Se participo en el més de abril en elCiclo de Conferencias del Campo Profesional e Investigativo, del departamento de lenguas en la UCEVA TULÚA, al igual que en el més de junio, se participó en el immersion day en el mes de Junio en la UCEVA de Tulúase realizarón las vacaciones recreativas con enfasis en inglés con un total de 21 niños, siendo el programa todo un exito.</t>
  </si>
  <si>
    <t>El contrato a esta adjudicado  se encuentra en proceso de aprobación de muestras por parte del supervisor del contrato</t>
  </si>
  <si>
    <t>El contrato ya fue adjudicado . Las actividades se iniciarán una vez los estudiantes entren de su periodo de vacaciones.</t>
  </si>
  <si>
    <t>Ya se han iniciado los procesos con los padres de familia.</t>
  </si>
  <si>
    <t>El contrato fue adjudicado  los bonos entregados. Los estudiantes a se encuentran haciendo uso del servicio</t>
  </si>
  <si>
    <t xml:space="preserve">En te primer semestre no se vio la necesidad de realizar actividades de plan de mejoramiento.  Generalemte se realiza cuando hay estudiantes con necesidades de refuerzo  mejormaiento. </t>
  </si>
  <si>
    <t>Se efectuó la consolidación de la información remitida por las áreas misionales con base en el anteproyecto de presupuesto 2018 y se calculó el valor promedio de las actividades de la cadena de valor para cada una de las pruebas de Estado (Saber 11 y Saber Pro)</t>
  </si>
  <si>
    <t xml:space="preserve">Se están realizando las adaptaciones del Cat-Icfes (motor adaptativo y Plexy), de acuerdo a las sugerencias realizadas por el asesor internacional.  En el mes de junio, se organizó una agenda de trabajo para la visita del asesor en la semana del 25 al 29 de Junio, se realizaron jornadas de trabajo en las cuales se abordaron temas como: Propuesta de Prueba Adaptativa (CAT) para el piloto Pre Saber, CAT-Icfes (motor adaptativo y plataforma Plexy), diseño de evaluaciones educativas, niveles de desempeño, y por último se recibieron recomendaciones y sugerencias para el desarrollo del piloto. </t>
  </si>
  <si>
    <t>Se ha avanzado en el desarrollo de los análisis sobre análisis de comportamiento diferencial, aumento de datos, análisis estadístico del armado, análisis factoriales exploratorios y confirmatorios, entre otros.</t>
  </si>
  <si>
    <t>• Publicación de Informes de resultados de 2012 Estudio principal de Factores Asociados en la página web del Icfes.
• Se realizaron las infografías sobre descarga y uso de resultados de Saber PRO y Saber 11 para ser enviadas en julio de 2018 (Saber PRO) y noviembre de 2018 (Saber 11).
• El boletín “Saber es de Todos” quedó definido y montado, estamos a la espera del envío por parte de la Oficina de Comunicaciones en julio de 2018.
• Seis guías Saber Pro y Saber TyT: guías publicadas en el aplicativo de consulta de resultados de icfesinteractivo.gov.co.
• Informe Latinoamericano de ICCS: entregado y publicado por la IEA.
• Informes nacionales de las Pruebas de Estado: publicamos el informe de Saber 359, el informe de Saber 11 ya fue publicado y los informes de Saber PRO y Saber TyT están en diagramación para publicación en julio de 2018.
• Plataforma de ítems liberados de Saber 11: lo estamos desarrollando en conjunto con la dirección de tecnología, posiblemente no entra en la priorización de PRISMA por lo que dependemos de tecnología para lograr tener la plataforma a final del 2018.
• Plataforma de ítems liberados Saber PRO: lo estamos desarrollando en conjunto con la dirección de tecnología, posiblemente no entra en la priorización de PRISMA por lo que dependemos de tecnología para lograr tener la plataforma a final del 2018.
*Diseño e implementación del curso virtual sobre evaluación formativa: el curso fue desarrollado y los profesores están realizando el curso</t>
  </si>
  <si>
    <t xml:space="preserve">En el segundo trimestre del año, se realizó la aplicación de la prueba "Avancemos" para los grados 4°, 6° y 8° (1era. aplicación) para 345.033 estudiantes de 3.160 instituciones en 505 municipios de 30 departamentos.
Se continúa trabajando en los requerimientos para garantizar la presentación de las demás pruebas a aplicar en segundo semestre del año, que corresponden a: 
1. Saber 11 INSOR
2. Avancemos 4°, 6° y 8° (2da. aplicación)
3. Ascenso a mayores - Policía Nacional
4. Saber PRO y Saber TyT en el exterior </t>
  </si>
  <si>
    <t>Durante el segundo semestre se adecuaron los documentos anexos al procedimiento del equipo de Nuevos Negocios, en materia de Evaluación de Satisfacción y Lecciones Aprendidas, así como la ficha del proyecto. Por otro lado, se estructura y actualiza la información del Documento Modelo de Nuevos Negocios y se realiza una actualización de la información en compañía de todos los integrantes de equipo.</t>
  </si>
  <si>
    <t xml:space="preserve">Se continuó con la divulgación por redes sociales de las convocatorias y se respondieron inquietudes por medio de los correos electrónicos de las convocatorias
Se cerraron las convocatorias de investigación y se preseleccionaron los ganadores. Estos recibieron los comentarios y ajustes solicitados a sus propuestas, las cuales servirán de base para elegir los ganadores finales que se darán a conocer el 24 de julio por la página web.
Se cerró el proyecto de Aulas sin Fronteras con presentación ante el MEN y se comenzó el desarrollo del proyecto de evaluación del ISCE.
</t>
  </si>
  <si>
    <t>Este avance del 75% esta representado : 1) Se tiene el documento maestro para solicitar al CONCES el nivel profesional  del area de contabilidad (contaduria), ya que se tiene por ciclo propedutico el tecnico y tecnologo; 2)  Se tiene el documento maestro para registrar en el CONACE el programa Tecnologia en Gestión de la Seguridad Industrial y Salud en el Trabajo ; 3)   Se tiene el documento maestro para registrar en el CONACE el programa Tecnologia el la Gestión en la produción Agoindustrial de Alimentos.</t>
  </si>
  <si>
    <t>Se ha venido ejecutando la estrategia de Marketing.</t>
  </si>
  <si>
    <r>
      <t xml:space="preserve">Este avance del 50% está representado:1)  En la realización de talleres a los estudiantes en las competencias que se  evaluan en las pruebas Saber Pro; 2) Se realizo un taller sobre competencias que se  evaluan en las pruebas Saber Pro a los docentes coordinadores de los campos de formación; 3) Se establecio y ejecuto el </t>
    </r>
    <r>
      <rPr>
        <b/>
        <sz val="10"/>
        <rFont val="Arial"/>
        <family val="2"/>
      </rPr>
      <t xml:space="preserve">calendario interno saber Pro, </t>
    </r>
    <r>
      <rPr>
        <sz val="10"/>
        <rFont val="Arial"/>
        <family val="2"/>
      </rPr>
      <t xml:space="preserve">como se puede apreciar en la pagina Weeb en el link </t>
    </r>
  </si>
  <si>
    <r>
      <t xml:space="preserve">Este avance del 75%  está representado: 1) El 12 y 13 de junio  se realizo un taller  para que los docentes  actualizaran y/o ingresaran su curriculo vitae en </t>
    </r>
    <r>
      <rPr>
        <b/>
        <i/>
        <sz val="10"/>
        <rFont val="Arial"/>
        <family val="2"/>
      </rPr>
      <t xml:space="preserve">curriculo vitae para latinoamerica y el Caribe-CVLAC; </t>
    </r>
    <r>
      <rPr>
        <sz val="10"/>
        <rFont val="Arial"/>
        <family val="2"/>
      </rPr>
      <t>2) Mediante contrato 042 del 2018 -que innicio el 4 de mayo y termina el 4 de octubre -se comenzo un diplomado e metodologia y estadistica que tiene como proposito "</t>
    </r>
    <r>
      <rPr>
        <b/>
        <sz val="10"/>
        <rFont val="Arial"/>
        <family val="2"/>
      </rPr>
      <t>fortalecer las competencias investigativas del cuerpo docente del INFOTEP para apoyar la condición de investigación en los proceso de acreditación y registro calificado  de los programas"</t>
    </r>
  </si>
  <si>
    <t>Este avance del 75%  , en fortalecimiento de la articulación, está representado : 1) capacitación a los estudiantes de articulación en la prevención de sustancias psicoactivas; 2) Encuentros de padres en san juan y villanueva.</t>
  </si>
  <si>
    <r>
      <t xml:space="preserve">Este avance del 50% está representado:1) El 2 y 3 de mayo se realizo la </t>
    </r>
    <r>
      <rPr>
        <b/>
        <sz val="10"/>
        <rFont val="Arial"/>
        <family val="2"/>
      </rPr>
      <t xml:space="preserve">semana de investigación institucional; 2) </t>
    </r>
    <r>
      <rPr>
        <sz val="10"/>
        <rFont val="Arial"/>
        <family val="2"/>
      </rPr>
      <t xml:space="preserve">El 7 y 11 de mayo se participo , en la ciudad de panama, en el </t>
    </r>
    <r>
      <rPr>
        <b/>
        <sz val="10"/>
        <rFont val="Arial"/>
        <family val="2"/>
      </rPr>
      <t xml:space="preserve">encuentro latinoamericano de investigación; 3) El 24, 25 y 26 de mayo </t>
    </r>
    <r>
      <rPr>
        <sz val="10"/>
        <rFont val="Arial"/>
        <family val="2"/>
      </rPr>
      <t>se participo en el encuetro departamental de la red colombiana de investigadores-recolsin.</t>
    </r>
  </si>
  <si>
    <t>Se dio cumplimiento de las actividades programadas  superando lo proyectado para el otorgamiento de credito  del segundo trimestre</t>
  </si>
  <si>
    <t>De acuerdo a la caracterización que se esta realizando IES se estructuraran los nuevos productos para el tercer trimestre</t>
  </si>
  <si>
    <t>Se proyectaba que 28 IES utilizarán los servicios no financieros a la fecha ya lo han beneficiado 84 IES</t>
  </si>
  <si>
    <t>Se realizaron las actividades programadas para incrementar el numero de IES afiliadas al FODESEP, logrando la afiliacion de 7 nuevas IES</t>
  </si>
  <si>
    <t>Se fortalece las Relaciones Interinstitucionales con la participación de la Gerencia General a los diferentes convocados donde se logró un  posicionamiento de FODESEP</t>
  </si>
  <si>
    <t>la actividad se cumplio en el primer trimestre</t>
  </si>
  <si>
    <t>Esta actividad se realizo en el primer trimestre</t>
  </si>
  <si>
    <t>Esta actividad esta proyectada para ser realizada en el trecer trimestre</t>
  </si>
  <si>
    <t>Se realizaron las actividades proyectadas de verificacion de la participacion IES en las sesiones convocadas, dando como resultado un 42%</t>
  </si>
  <si>
    <t xml:space="preserve">Se realizaron las actividades proyectadas de verificacion de la participacion IES en las sesiones convocadas, dando como resultado un 23% teniendo en cuenta que no se elaizo la eunon de mes de junio </t>
  </si>
  <si>
    <t>Se realizaron las actividades proyectadas  la participación  en eventos de defensade FODESEP, dando como resultado un 45%</t>
  </si>
  <si>
    <t>Se diseño  la estrategias de pormocion y mercadeo proyectadas para este trimestre</t>
  </si>
  <si>
    <t>Se realizaron las actividades planeadas para el segundo trimestre ya que las actividades se dio inicio en el mes de mayo</t>
  </si>
  <si>
    <t>Se diseño plan de mercadeo</t>
  </si>
  <si>
    <t>Se esta ejecutando el plan de acuerdo a lo proyectado para este trimestre ya que las actividades se dio inicio en el mes de mayo</t>
  </si>
  <si>
    <t>Al mes de junio se han efectuado 467 adjudicaciones,
Se desembolsaron 420 créditos para sostenimiento y se renovaron 2.227 créditos para población víctima.</t>
  </si>
  <si>
    <t>Al mes de junio se han adjudicado 2.974 subsidios de sostenimiento. Estos subsidios serán efectuados en el transcurso del año.</t>
  </si>
  <si>
    <t>Al mes de junio se han renovado 47.347  subsidios de sostenimiento.Estos subsidios serán efectuados en el transcurso del año.</t>
  </si>
  <si>
    <t>Al mes de junio se han efectuado 7 nuevas adjudicaciones para población en condición de discapacidad.</t>
  </si>
  <si>
    <t>Al mes de junio se han adjudicado 855 nuevos créditos para población indígena, sin embargo el fondo tiene al 30 de junio 1.015 beneficiarios legalizados que se encuentran en proceso de giro.</t>
  </si>
  <si>
    <t>Al mes de junio se efectuaron 3.700 renovaciones para población indígena.</t>
  </si>
  <si>
    <t>Al mes de junio no se han adjudicado nuevos créditos para población afrodescendiente, sin embargo, el fondo inició su proceso de legalización para el periodo 2018-1 con el cual se ha logrado para el cierre de junio un total de 305 beneficiarios legalizados.</t>
  </si>
  <si>
    <t>Al mes de junio se efectuaron 6.575 renovaciones para población afrodescendiente.</t>
  </si>
  <si>
    <t>Al mes de junio se han adjudicado 5 nuevos créditos para población RROM.
Al mes de junio se han efectuado 20 renovaciones para ésta población.</t>
  </si>
  <si>
    <t>Al mes de junio se han efectuado 4.151 condonaciones del 25%.</t>
  </si>
  <si>
    <t>Al mes de junio se han desembolsado 47 nuevos créditos a los mejores bachilleres.
No se ha suscrito el convenio respectivo para adjudicar la Beca  "Omaira Sánchez" e ICETEX se encuentra a la espera de las directrices por parte del Ministerio de Educación Nacional.
Se efectuaron 2 renovaciones de la Beca "Jóvenes ciudadanos de Paz"</t>
  </si>
  <si>
    <t>Al mes de junio se renovaron 314 subsidios a los mejores bachilleres.</t>
  </si>
  <si>
    <t xml:space="preserve">Al mes de junio no se han otorgado nuevas becas para maestría y doctorado y se efectuaron 34 renovaciones. </t>
  </si>
  <si>
    <t>Al mes de junio no se ha adjudicado la beca.</t>
  </si>
  <si>
    <t>*Al mes de junio se han efectuado 5.948 giros de adjudicación de nuevos pilos.
*Se han efectuado 5.798 giros de nuevos subsidios para Ser Pilo Paga.
* Se han efectuado 33.040 giros de renovación de Ser Pilo Paga.
* Se han realizado 44.689 giros de renovación a beneficiarios del Subsidio de Sostenimiento del programa Ser Pilo Paga.</t>
  </si>
  <si>
    <t xml:space="preserve">Al mes de junio no se han adjudicado nuevos créditos para maestros. ICETEX se encuentra a la espera de que el Ministerio de Educacion Nacional defina el numero de adjudicados para el 2018. </t>
  </si>
  <si>
    <t>Al mes de junio se renovaron 721 créditos para maestros.</t>
  </si>
  <si>
    <t>Al mes de junio se han efectuado 38 condonaciones a mejores Saber Pro. Estas condonaciones se efectuaran en el transcurso del año.</t>
  </si>
  <si>
    <t>Al mes de junio se desembolsaron 3.685 créditos con subsidio de tasa.</t>
  </si>
  <si>
    <t>Al mes de junio se renovaron 73.017 créditos con subsidio de tasa.</t>
  </si>
  <si>
    <t>Al mes de junio se renovaron 5.913 créditos para médicos.</t>
  </si>
  <si>
    <t>Durante el segundo trimestre se desarrollaron 47 asesorías; de las cuales 28 fueron a secretarías de educación (Antioquia, Armenia, Bucaramanga, Buenaventura, Buga, Cali, Cúcuta, Cundinamarca, Huila, Ibagué, Ipiales, La Guajira, Meta, Mosquera, Nariño, Neiva, Norte de Santander, Pasto, Popayán, Riohacha, Risaralda, Sabaneta, Santa Marta, Santander, Soacha, Tolima, Tunja y Valledupar); 4 a entidades de educación superior (Universidad Nacional de Antioquia, Universidad Tecnológica de Santander, Universidad Tecnológica Metropolitana y Universidad del Norte); 6 a instituciones educativas (IE ENS Bucaramanga, IE ENS de Neiva, IE Niño Jesus de Praga, IE Salvador Suarez , IE Francisco Luis Hernandez e IE Técnico Guaymaral); 7 acompañamientos al MEN en asesoría sobre decreto 1421en las ciudades de (Atlántico, Barranquilla, Huila, Ibagué, Neiva, Soledad y Tolima); 1 sobre sordoceguera y 1 exclusiva a padres de familia de la IE Salvador Suarez Suarez.</t>
  </si>
  <si>
    <t>Conforme a lo establecido, se realiza la escritura del los apartados del documento de la estrategia integral para el mejoramiento de la calidad educativa de la población sorda, lo cual deriva en el documento que se anexa, el cual está sujeto a eventuales ajustes</t>
  </si>
  <si>
    <t>Se avanzo en el desarrollo de procesos de asesoría y asistencia técnica para la inclusion de poblacion sorda en Instituciones de Educación Superior: Universidad Nacional de Antioquia, Universidad Tecnológica de Santander; Universidad Tecnológica Metropololitana, Universidad del Norte, Universidad Distrital, y acompañamiento tecnico a la agenda trimestral de la red de Instituciones de Educacón Superior por la Discapacidad.</t>
  </si>
  <si>
    <t>• Se seleccionaron y tradujeron los Ítems de la prueba SABER 11 - 2018 (27 Ítems).
Se realiza la producción audiovisual del Tour de ayuda de la plataforma PLEXI.
Se produjeron 15 Ítems liberados en Lengua de Señas Colombiana.
Se videograbaron, los contenidos de la guía de la prueba SABER 11. (11 contenidos).
Se realizaron sesiones de asesoría, con la oficina de comunicaciones, de diseño, para la divulgación, preparación y aplicación de la prueba.
• Durante el segundo trimestre (abril a junio) se ha avanzado con respecto a la producción de los 120 contenidos, así: 
12 clases en vivo
22 cortos
8 lecciones de módulos
40 contenidos de Cundinamarca 
Total segundo trimestre: Elaboración de 82 contenidos educativos accesibles</t>
  </si>
  <si>
    <t xml:space="preserve">Durante en segundo trimestre se realizaron las siguientes acciones: . - Documento preliminar de lineamientos u orientaciones para la creación de programas a nivel profesional en Instituciones Educación Superior. 
- Reuniones con la Universidad Distrital Francisco José Caldas  y el Instituto Tecnológico Metropolitano de Medellín para la formación de intérpretes 
- En el marco de la alianza con el SENA se realizó la consulta pública y mesas de validación en Medellín e Ibagué de las Normas Sectoriales de Competencias Laborales –NSCL- de intérpretes y guías intérpretes con la asistencia de 31 personas sordas y 31 oyentes y se realizaron los ajustes de las NSCL para revisión metodológica por el SENA. 
- En el marco de la alianza con ICONTEC se realizó la traducción a lengua de señas colombiana del proyecto de norma DE013/2015, “SERVICIOS DE INTERPRETACIÓN. REQUISITOS Y RECOMENDACIONES GENERALES”, correspondiente a la norma ISO 18841 ”Interpreting Services General Requirements and Recommendations, en el maco del trabajo relizado en el comité tecnico 217 Lenguaje y Teminologia de ICONTEC y socilaización de la misma en la reunión plenaria del Comité Técnico 37, Subcomité 5 (SC5) “Language and Terminology”, de la Organización Internacional de Normalización (ISO), llevada a cabo el 15 de junio en la ciudad de Hangzhou (China). </t>
  </si>
  <si>
    <t>En el primer semestre de 2018 se matricularon 395 estudiantes de nuevo ingreso en los diferentes programas tecnico profesionales.</t>
  </si>
  <si>
    <t>En el primer semestre de 2018 se han matriculado 951 estudiantes.</t>
  </si>
  <si>
    <t>Las condiciones de calidad se encuentran documentadas, falta proceso de validación en los diferentes organos de validación.</t>
  </si>
  <si>
    <t>Se aplico plan de trabajo para el proceso de autoevaluación en los diferentes programas académicos, falta informe y socialización de los resultados.</t>
  </si>
  <si>
    <t>En el primestre semestre académico del año 2018 se han matriculado 200 estudiantes.</t>
  </si>
  <si>
    <t xml:space="preserve">A la fecha de corte se han ejecutado el 40% de los recursos de inversión, este nivel de inversión se debe al cupo PAC asignado y en el mes de abril se aplazaron para la siguiente vigencia el 7% de los recursos. </t>
  </si>
  <si>
    <t>Para la vigencia 2019 se formularon 2 nuevos proyectos de inversión, los cuales se realizaron con la nueva metodologia de cadena de valor con los nuevos programas presupuestales de 2019.</t>
  </si>
  <si>
    <t>Se han realizado avances en capacitaciones a docentes en cualificacion de investigacion, semilleros. La mayor parte de las actividades estan programadas para el segundo semestre de la vigencia</t>
  </si>
  <si>
    <t>Se realizan cursos de ingles para el personal docente y administrativo, se participa en eventos de redes de intercambio academico.</t>
  </si>
  <si>
    <t>Se realizó la caraterización de estudiantes de bachillerato con sos respectivos acudientes, se estpa tabulzando y analizando la información para dar inicio a los estudiantes de PES</t>
  </si>
  <si>
    <t>Está en la fase de pre-selección de pares académicos, actualmente se está trabajando en el procesos de alistamiento del proceso de acreditación y autoevaluación</t>
  </si>
  <si>
    <t>La institución recibio visita de apreciación de Condiciones Iniaciles por parte del CNA,  el dia 8 de mayo de 2018 cuyo consejero asignado fue el Dr. Alvaro Andres Motta, este proceso se desarrollo de acuerdo a la agenda establecida y concertada donde se realizaron las diferentes presentaciones tanto institucional como del programa de Administración y los encuentros con egresados, sector productivo, docentes y estudiantes. Pendiente concepto de la visita por parte de CNA</t>
  </si>
  <si>
    <t>Se completó el primer acompañamiento de dos a las 95 ETC de acompañamiento pedagógico con los equipos de caldiad de las SE y el taller de formación a los rectores en el Taller Día E 2018, de las cuales 61 cuentan con reporte y evidencias completas</t>
  </si>
  <si>
    <t>Durante el mes de Junio se contó con un total de 301 Formadores Nativos Extranjeros, los cuales impactan 295 Instituciones Educativas focalizadas por el programa Colombia Bilingüe</t>
  </si>
  <si>
    <t>Con corte a junio se cuenta con 372 aulas con mejoramiento o ampliación a nivel nacional</t>
  </si>
  <si>
    <t>Con corte a junio se cuenta con 358 aulas nuevas construidas a nivel nacional</t>
  </si>
  <si>
    <t>En junio se realizo el evento de formación a 90 formadores para el ciclo II, y se inició el suceso de eventos de formación a 1.307 tutores de acuerdo a lo previsto. De igual forma el dia 5 de junio se llevo a cabo un evento academico del Programa donde se realizo un balance de resultados a la fecha</t>
  </si>
  <si>
    <t>El seguimiento y monitoreo realizado por el MEN a corte 30/06/2018 y con base en los soportes contractuales enviados por 93 ETC se tiene un reporte de 640.680.384 raciones de PAE regular y PAE JU. Es necesario indicar que a corte 30/06/2018, no ha iniciado operación PAE en ETC Montería y Cartagena.</t>
  </si>
  <si>
    <t>Con corte a junio se estima que al 43% de las Secretarías de Educación se les ha brindado Plan de Asistencia Técnica por parte de la Subdirección de Fortalecimiento</t>
  </si>
  <si>
    <t>No aplica para el periodo. No obstante, se realizó taller Caminos hacia la Lectura y Escritura en Mocoa así como taller de formación con docentes en el Festival Epico en la ciudad de Barranquilla, este taller tuvo como objetivo el acompañamiento pedagógico en estrategias de lectura en voz alta y compartida</t>
  </si>
  <si>
    <t>Con corte a junio de 2018, el 50% de las ETC han implementado la política de bienestar</t>
  </si>
  <si>
    <t>Este indicador se cumplió en su totalidad durante el mes de febrero donde se realizó la entrega de libros de trabajo en inglés de la serie Way to GO! a grados 6, 7 y 8. Es decir se entregaron 201.626 libros a 370 establecimientos educativos focalizados por el programa Colombia Bilingüe.</t>
  </si>
  <si>
    <t xml:space="preserve">En el mes de junio se construyeron 400 ítems, 200 de lenguaje y 200 de matemáticas para la segunda clasificatotira de Supérate con el Saber. A la fecha van 2.2121.858 estudiantes </t>
  </si>
  <si>
    <t>Actualización de cifras del Taller de activación dirigido a estudiantes de cuatro (4) sedes educativas ganadoras de las Maratones de lectura 2017. Con corte a junio, 9.035 estudiantes han participado de dichas iniciativas</t>
  </si>
  <si>
    <t>No aplica para el periodo</t>
  </si>
  <si>
    <t>Se dispone de la base de datos de posibles invitados expertos junto con el perfil correspondiente, así mismo, se cuenta con una carácterización para la participación de los mismos. La Arquitectura del edusitio se encuentra diseñada y se espera lanzarlo a finales del mes de julio</t>
  </si>
  <si>
    <t>Corresponde a la continuidad del desarrollo del acompañamiento a docentes y directivos docentes propio del Ciclo I de la ruta de formación 2018, que a la fecha contempla 83.283  docentes. Se continua el trabajo en CDA en el cual se comparten las estrategias generadas en el equipo PICC-HME para su implementación en el aula</t>
  </si>
  <si>
    <t>Capacitación a 1828 docentes en procesos relacionados con Formación para la Ciudadanía y fomento de procesos de lectura y escritura en el aula.</t>
  </si>
  <si>
    <t>En junio se realizaron los primeros pagos por impresión y distribución, y la totalidad de la logística Día E. A junio se han impreso 16.289 reportes</t>
  </si>
  <si>
    <t>Se ha brindado asistencia técnica a las 95 ETC. ver adjunto Reporte junio 2018 indicador asistencias técnicas PAE</t>
  </si>
  <si>
    <t>Respecto al Número de Establecimientos Educativos con materiales pedagógicos para el mejoramiento de las prácticas de aula del programa Jornada Única. Se informa que el material correspondiente a JU fue entregado en un 100% a 2.469 sedes correspondiente a 1.967 EE JU;</t>
  </si>
  <si>
    <t>Se realizó el seguimiento a la implementación del servicio de Preescolar integral en 27 municipios de 11 entidades territoriales certificadas en Educación. Se realizan visitas a IE de Yotoco, y Cali, además se realiza jornada de asistencia técnica con las Secretarías de Educación de Cali y Valle de</t>
  </si>
  <si>
    <t>Durante el mes de junio se formalizaron los contratos 961 y 962 con las firma FIPC Alberto Merani y Asesoría y Gestión, se anexa avance culitativo.</t>
  </si>
  <si>
    <t>La Subdirección de Permanencia informa que el PNA en el de mes de junio están relacionadas con la fase inicial del contrato 963 de 2018 adjudicado mediante licitación pública LP-MEN-04-2018 al proponente Unión Temporal Educando Colombia – UTEC 2018, se anexa avance cualitativo</t>
  </si>
  <si>
    <t>Se han implementado de manera permanente, las acciones correspondientes al Plan Estratégico de Comunicaciones del PAE</t>
  </si>
  <si>
    <t>Se cuenta con 135 proyectos de infraestructura desarrollados en el territorio nacional</t>
  </si>
  <si>
    <t>1. Actualmente se cuenta con una documento consolidado de la estrategia de excelencia docente versión preliminar las cual en el marco del convenio con Corpoeducación se llevó a socialización y retroalimentación por actores clave en 5 mesas regionales: Barranquilla, Medellín, Cali, Bogotá y Bucaram</t>
  </si>
  <si>
    <t>Se avanzó en la entrega de 6.118.965 textos escolares en 17.041 Sedes equivalentes a 3.361 establecimientos educativos del País</t>
  </si>
  <si>
    <t>En el mes de junio se realizaron AT, con el fin de socializar el contrato para el fortalecimiento de modelos educativos flexibles. Se anexa avance cualitativo.</t>
  </si>
  <si>
    <t>Durante el mes de junio se se adjudica el contrato 0964 de 2018 con E-Training S.A.S. Se avanzó por parte del contratista en la conformación del equipo de trabajo de acuerdo con las condiciones y lineamientos estipulados en el contrato. Se anexa avance culitativo.</t>
  </si>
  <si>
    <t>Desde la Subdirección de Permanencia se realizó durante el mes de mayo del 2018 asistencia técnica a las secretarías de educación. Se anexa avance cualitativo del indicador.</t>
  </si>
  <si>
    <t>Se realizó la reunión de presentación y validación de la propuesta de articulación e implementación del MGEI en la SE Vichada. Se iniciaron las fases 3 y 4 de implementación del MGEI en las 21 SE del Convenio 849 de 2018. Así mismo, se realizaron las Jornadas del RUPEI en SE Casanare, Buenaventura</t>
  </si>
  <si>
    <t>SIN OBSERVACIÓN</t>
  </si>
  <si>
    <t>Al mes de abril se han adjudicado 262 nuevos créditos para población indígena. El fondo tiene al 30 de abril 1.015 beneficiarios legalizados.</t>
  </si>
  <si>
    <t>Al mes de marzo se han efectuado 400 adjudicaciones para población víctima. Así mismo, se han entregado 57 créditos para sostenimiento para población víctima.</t>
  </si>
  <si>
    <t>No hay avances sobre este indicador</t>
  </si>
  <si>
    <t>Al mes de abril no se han adjudicado nuevos créditos para población afrodescendiente, sin embargo, el fondo inició su proceso de legalización con el cual se ha logrado para el cierre de abril un total de 299 beneficiarios legalizados.</t>
  </si>
  <si>
    <t>Al mes de abril se han adjudicado 4 nuevos créditos y se han efectuado 20 renovaciones para población RROM.</t>
  </si>
  <si>
    <t>Al mes de abril se efectuaron 5.878 renovaciones para población afrodescendiente.</t>
  </si>
  <si>
    <t>Se radicó el insumo en NEON y se encuentra en proceso pre-contractual. Insumo 1027.Se definió requerimiento y esta pendiente de la terminación de la ejecución de las reservas presupuestales del contrato anterior para iniciar el del 2018</t>
  </si>
  <si>
    <t>Al mes de marzo no se han otorgado nuevas becas para maestría y doctorado y se renovaron 28 becas para maestría y doctorado.</t>
  </si>
  <si>
    <t>Se situaron a través del PAC $252.234.578.340 para disminución de la tasa de interes.</t>
  </si>
  <si>
    <t>Al mes de abril se efectuaron 3.671 renovaciones para población indígena.</t>
  </si>
  <si>
    <t>Taller construcción de referentes de calidad trasversales para programas de salud, se construyeron las matrices de valoración transversales para los programas profesionales de salud y para las Especialidades Medico Quirúrgicas</t>
  </si>
  <si>
    <t>En el mes de junio se recibieron 21 solicitudes para un acumulado de 167 durante los meses de enero a Junio. Estos procesos corresponden al segundo ciclo y pasaron a revisión de completitud y selección de pares.</t>
  </si>
  <si>
    <t>Al mes de abril se han renovado 46.161 subsidios de sostenimiento</t>
  </si>
  <si>
    <t>Al mes de abril se han adjudicado 989 subsidios de sostenimiento.</t>
  </si>
  <si>
    <t xml:space="preserve">No aplica para el periodo.  </t>
  </si>
  <si>
    <t>Al mes de marzo se han efectuado 5.770 giros de adjudicación de nuevos pilos y se han efectuado 5.759 giros de nuevos subsidios para Ser Pilo Paga.</t>
  </si>
  <si>
    <t>Se realizaron espacios de profundización de los materiales de Siempre Día E 2018 y tutorías con los facilitadores para resolver inquietudes sobre el acompañamiento in situ. Se continuó con el seguimiento del desarrollo de las sesiones virtuales a los facilitadores.</t>
  </si>
  <si>
    <t>Durante el mes de julio se realizó el cierre del convenio 1465 de 2017 (MEN-CUN) que contó para su ejecución con 301 Formadores Nativos Extranjeros en 295 Instituciones Educativas focalizadas por el programa Colombia Bilingüe.</t>
  </si>
  <si>
    <t>El avance de la meta se ajusta a la proyección de entrega de obras por parte de FFIE en donde el grueso será terminado en los últimos cuatro meses del año.</t>
  </si>
  <si>
    <t>El avance de la meta se ajusta a la proyección de entrega de obras por parte de FFIE en donde el grueso será terminado en los últimos meses del año.</t>
  </si>
  <si>
    <t>Durante el mes de agosto se llevo a cabo el tercer evento de forrmación centralizado al 100% de los formadores del programa, con el propósito de establecer las directicez y lineamientos pedagógicos y administrativos del ciclo de cierre</t>
  </si>
  <si>
    <t>No hay avance respecto al II trimestre. El seguimiento y monitoreo realizado por el MEN a corte 30/06/2018 y con base en los soportes contractuales enviados por 93 ETC se tiene un reporte de 640.680.384 raciones de PAE regular y PAE JU. Es necesario indicar que a corte 30/06/2018, no ha iniciado operación PAE en ETC Montería y Cartagena.</t>
  </si>
  <si>
    <t>Se realizaron visitas de asistencia técnica a las secretarias de educación de Sahagun, Turbo y Santa Marta; en el marco del plan de asistencia técnica de la subdirección. Se dio asistencia técnica por demanda a las Secretarias de educación de San Andres y Santander</t>
  </si>
  <si>
    <t>Se realizó taller Caminos hacia la Lectura y Escritura en Mocoa así como taller de formación con docentes en el Festival Epico en la ciudad de Barranquilla, este taller tuvo como objetivo el acompañamiento pedagógico en estrategias de lectura en voz alta y compartida</t>
  </si>
  <si>
    <t>Con corte a septiembre, el 100% de las ETC implementarion la política de bienestar</t>
  </si>
  <si>
    <t>Este indicador se cumplió en su totalidad durante el mes de febrero donde se realizó la entrega de libros de trabajo en inglés de la serie Way to GO! a grados 6, 7 y 8. Es decir se entregaron 201.626 libros a 370 establecimientos educativos focalizados por el programa Colombia Bilingüe</t>
  </si>
  <si>
    <t>En el mes de junio se construyeron 400 ítems, 200 de lenguaje y 200 de matemáticas para la segunda clasificatotira de Supérate con el Saber, para un total de  2.2121.858 estudiantes participantes</t>
  </si>
  <si>
    <t>Diseño y remisión del protocolo para el desarrollo de la actividad de movilización con estudiantes de sedes educativas focalizadas por la Fundación Global Humanitaria y la Fundación Círculo Abierto</t>
  </si>
  <si>
    <t>Definición franjas agenda evento central, análisis hojas de vida posibles conferencistas y panelistas. Movilización por redes sociales de los foros territoriales. Desarrollo nuevos contenidos edusitio, aplicativo de inscripciones participantes evento central</t>
  </si>
  <si>
    <t>Corresponde a la implementación de las sesiones de trabajo situado de ciclo II en los establecimientos educativos, así como a la continuación de acompañamientos en el aula en 2º, 3,º, 4º y 5º.</t>
  </si>
  <si>
    <t>754 docentes y directivos que participaron de procesos formativos en Inglés y Aulas sin Fronteras para su actualización.</t>
  </si>
  <si>
    <t>En el mes de septiembre, la nueva administración identificó unas mejoras en el material , lo cual deja en trámite modificación al contrato 936 de impresión</t>
  </si>
  <si>
    <t>Se realizaron en septiembre 41 asistencias técnicas presenciales; Financiero: 5 Proyectos Estratégicos: 6 Jurídico: 1 Monitoreo y control: 29</t>
  </si>
  <si>
    <t>En el periodo reportado se avanza en el seguimiento a la implementación de Preescolar Integral en las 11 ETC. Se realiza seguimiento a la suscripción de los convenios de la ETC Valle del Cauca y Perei… para mayor información ver el anexo “Reporte Consolidado Indicadores 2.018 – DPI Septiembre 2.018”</t>
  </si>
  <si>
    <t>Se encuentra en ejecución los contratos 961 y 962 con las firmas FIPC Alberto Merani y Asesoría y Gestión. Se anexa avance cualitativo del indicador, correspondiente al mes de septiembre.</t>
  </si>
  <si>
    <t>Se encuentra en ejecución el contrato 963 de 2018 con Unión Temporal Educando Colombia. Se anexa avance cualitativo del indicador correspondiente al mes de septiembre.</t>
  </si>
  <si>
    <t>Al cierre del mes de Septiembre,aún estan en proceso de validación proyectos de la convocatoria de Manos a la Escuela III. En la medida que hayan superado esta etapa se irán registrando en el reporte</t>
  </si>
  <si>
    <t>1. Respecto al documento de la estrategia de excelencia docente se realiza la revisión de la versión última enviada por CORPOEDUCACION que incluye los ajustes solicitados. Sobre la propuesta de diag… para mayor información ver el anexo “Reporte Consolidado Indicadores 2.018 – DPI Septiembre 2.018”</t>
  </si>
  <si>
    <t>El mes de agosto se avanzó en la entrega de 5.884.592 textos escolares en 18.737 sedes de 3.598 establecimientos educativos del País.</t>
  </si>
  <si>
    <t>En el mes de septiembre se realizaron AT, con el fin de socializar el contrato para el fortalecimiento de modelos educativos flexibles. Se anexa avance cualitativo.</t>
  </si>
  <si>
    <t>Durante el mes de septiembre mediante el contrato No 964 de 2018, con la firma E-Training, el cual tiene como avance de ejecución técnico el 44%, el cual corresponde al desarrollo de talleres en 6 ETC en temas de riesgo EMB, REC y ERM.</t>
  </si>
  <si>
    <t>Desde la Subdirección de Permanencia se realizó durante el mes de septiembre del 2018 asistencia técnica a las secretarías de educación.</t>
  </si>
  <si>
    <t>En septiembre se avanzó en la definición de una metodología para identificar el estado de avance de la articulación e implementación del MGEI, de las 71 SE focalizadas. De otro lado, se avanzó en la o… para mayor información ver el anexo “Reporte Consolidado Indicadores 2.018 – DPI Septiembre 2.018”</t>
  </si>
  <si>
    <t>Al mes de julio no se ha adjudicado la beca correspondiente a la convocatoria 2018 y se han realizado dos giros de renovación.</t>
  </si>
  <si>
    <t>Al mes de julio se han desembolsado 938 nuevos créditos para población indígena. El fondo tiene al 31 de julio 1.025 beneficiarios legalizados de la convocatoria 2018-1 y un total de aprobados de 2.909 de la convocatoria 2018-2.</t>
  </si>
  <si>
    <t>Al mes de julio se han efectuado 467 adjudicaciones por concepto de matrícula para población víctima y se han efectuado 450 adjudicaciones por concepto de sostenimiento para población víctima.</t>
  </si>
  <si>
    <t>Al mes de junio se desembolsaron 3.685 créditos susceptibles de recibir subsidio de tasa.</t>
  </si>
  <si>
    <t>Al mes de julio se han efectuado 8 nuevas adjudicaciones para población en condición de discapacidad.</t>
  </si>
  <si>
    <t>No se reportan avances en el presente trimestre. Al mes de junio no se han adjudicado nuevos créditos para población afrodescendiente, sin embargo, el fondo inició su proceso de legalización con el cual se ha logrado para el cierre de junio un total de 305 beneficiarios legalizados.</t>
  </si>
  <si>
    <t>Al mes de julio se han adjudicado 5 nuevos créditos para población RROM.</t>
  </si>
  <si>
    <t>Al mes de julio se efectuaron 7.495 renovaciones para población afrodescendiente.</t>
  </si>
  <si>
    <t>No se reportan avances en el presente trimestre. Al mes de junio no se han adjudicado nuevos créditos para maestros.</t>
  </si>
  <si>
    <t>No se reportan avances en el presente trimestre. Al mes de junio se han efectuado 38 condonaciones a mejores Saber Pro.</t>
  </si>
  <si>
    <t>Al mes de julio se renovaron 8.533 créditos para médicos.</t>
  </si>
  <si>
    <t>No se reportan avances en el presente trimestre. Al mes de junio se renovaron 73.017 créditos con subsidio de tasa.</t>
  </si>
  <si>
    <t>No se reportan avances en el presente trimestre. Al mes de junio se renovaron 721 créditos para maestros.</t>
  </si>
  <si>
    <t>Recurso en trámite de liberación. Estos recursos serán orientados a la nueva estrategia de acceso.</t>
  </si>
  <si>
    <t>Analizar el modelo de datos y de los procesos del SPADIES para avanzar hacia el proceso de integración con SNIES. Contrato con SOFINSER</t>
  </si>
  <si>
    <t>Al mes de julio no se han otorgado nuevas becas para maestría y doctorado y se renovaron 38 becas para maestría y doctorado.</t>
  </si>
  <si>
    <t>Al mes de julio se efectuaron 3.713 renovaciones para población indígena.</t>
  </si>
  <si>
    <t>Se realizó el encuentro de IES acreditadas, con el fin de propiciar un encuentro con los rectores de las IES para escuchar sus problemáticas, sugerencias o propuestas, en torno a las mejoras de la educación superior del país. A la fecha se cuenta con 91 IES</t>
  </si>
  <si>
    <t>Se recibieron 19 solicitudes para un acumulado de 300 en lo corrido del año. Estos procesos se encuentran en preselección de pares.</t>
  </si>
  <si>
    <t>Al mes de julio se han renovado 58.285 subsidios de sostenimiento.</t>
  </si>
  <si>
    <t>Al mes de julio se han adjudicado 3.037 subsidios de sostenimiento..</t>
  </si>
  <si>
    <t>Este indicador no se cumplirá; se solicitó reducción de la meta a 0</t>
  </si>
  <si>
    <t>No se reportan avances en el presente trimestre. Al mes de junio se han efectuado 5.948 giros de adjudicación de nuevos pilos y e han efectuado 5.798 giros de nuevos subsidios para Ser Pilo Paga.</t>
  </si>
  <si>
    <t>Al mes de septiembre se han efectuado 1.207 adjudicaciones.
Se desembolsaron 469 créditos para sostenimiento y se renovaron 4.472 créditos para población víctima. Por instrucción del MEN, se utilizaron los saldos disponibles del año 2017 de este fondo y se ha logrado otorgar mas créditos para la población victima.</t>
  </si>
  <si>
    <t>Al mes de septiembre se han adjudicado 3.705 subsidios de sostenimiento. A la fecha se encuentran giros con estado rechazado por inconsistencias con el medio de pago.</t>
  </si>
  <si>
    <t>Al mes de septiembre se han renovado 88.657 subsidios de sostenimiento. A la fecha se encuentran giros con estado rechazado por inconsistencias con el medio de pago.</t>
  </si>
  <si>
    <t>Al mes de septiembre se han efectuado 24 nuevas adjudicaciones para población en condición de discapacidad. Por instrucción del MEN, se utilizaron los saldos disponibles del año 2017 de este fondo y se ha logrado otorgar mas créditos para la población en condición de discapacidad.</t>
  </si>
  <si>
    <t>Al mes de septiembre se han desembolsado 970 nuevos créditos para población indígena. El fondo tiene al 30 de septiembre 2.866 beneficiarios legalizados de las convocatorias 2018-1 y 2018-2.</t>
  </si>
  <si>
    <t>Al mes de septiembre se efectuaron 6.492 renovaciones para población indígena.</t>
  </si>
  <si>
    <t xml:space="preserve">Al mes de septiembre no se han desembolsado nuevos créditos para población afrodescendiente, sin embargo, el fondo inició su proceso de legalización con el cual se ha logrado para el cierre de septiembre un total de 352 beneficiarios legalizados. </t>
  </si>
  <si>
    <t>Al mes de septiembre se efectuaron 11.239 renovaciones para población afrodescendiente.</t>
  </si>
  <si>
    <t>Al mes de septiembre se han adjudicado 10 nuevos créditos para población RROM. Por instrucción del MEN, se utilizaron los saldos disponibles del año 2017 de este fondo y se adjudicaron nuevos créditos para los periodos 2018-1 y 2018-2, cada uno de estos periodos con un cupo de 5 beneficiarios. Al mes de septiembre se han efectuado 30 renovaciones para ésta población.</t>
  </si>
  <si>
    <t>Al mes de septiembre se han efectuado 5.026 condonaciones del 25%.</t>
  </si>
  <si>
    <t>Al mes de septiembre se han desembolsado 79 nuevos créditos a los mejores bachilleres. 
Se adjudicó la Beca  "Omaira Sánchez" 
Se efectuaron 6 renovaciones de la Beca "Jóvenes ciudadanos de Paz"</t>
  </si>
  <si>
    <t>Al mes de septiembre se renovaron 782  subsidios a los mejores bachilleres.</t>
  </si>
  <si>
    <t xml:space="preserve">Al mes de septiembre no se han otorgado nuevas becas para maestría y doctorado y se efectuaron 52 renovaciones. </t>
  </si>
  <si>
    <t>Al mes de septiembre no se ha adjudicado la beca correspondiente a la convocatoria 2018 y se han realizado 4 giros de renovación.</t>
  </si>
  <si>
    <t>*Al mes de septiembre se han efectuado 7.149 giros de adjudicación de nuevos pilos.
*Se han efectuado 7.070 giros de nuevos subsidios para Ser Pilo Paga.
* Se han efectuado 28.609 giros de renovación por concepto de matrícula de Ser Pilo Paga.
* Se han realizado 28.589 giros de renovación a beneficiarios del Subsidio de Sostenimiento del programa Ser Pilo Paga.</t>
  </si>
  <si>
    <t xml:space="preserve">Al mes de septiembre no se han adjudicado nuevos créditos para maestros. ICETEX se encuentra a la espera de que el Ministerio de Educación Nacional defina el numero de adjudicados para el 2018. </t>
  </si>
  <si>
    <t>Al mes de septiembre se renovaron 3.617 créditos para maestros.</t>
  </si>
  <si>
    <t xml:space="preserve">Al mes de septiembre se han efectuado 83 condonaciones a mejores Saber Pro. </t>
  </si>
  <si>
    <t>Al mes de septiembre se han desembolsado 10.398 créditos susceptibles de recibir subsidio de tasa.</t>
  </si>
  <si>
    <t>Al mes de septiembre se renovaron  130.884 créditos con subsidio de tasa.</t>
  </si>
  <si>
    <t xml:space="preserve">Se situaron a través del PAC  $315.468.884.108  para disminución de la tasa de interés. </t>
  </si>
  <si>
    <t>Al mes de septiembre se renovaron 8.622 créditos para médicos.</t>
  </si>
  <si>
    <t>Elaboración de matriz con los gastos promedio por etapa de la cadena de valor, con base a la información de gastos proyectada en el antperoyecto de presupuesto para la vigencia 2018</t>
  </si>
  <si>
    <t>En este trimestre se hicieron adelantos con respecto al motor adaptativo de las 5 subpruebas que componen la prueba PreSaber, lo que permitió el cumplimiento total del indicador de la actividad. Así mismo, en el marco de la asesoría del consultor internacional, se realizó  un taller de dos días en el mes agosto dirigido al personal de las tres subdirecciones de la Dirección de Evaluación en el cual se abordó el tema de Pruebas Adaptativas y TRI (Teoría de respuesta del ítem).
Cabe resaltar, que se acordó con la OAP realizar un ajuste en cuanto a las actividades establecidas para el proyecto como tal, teniendo en cuenta que no se alcanzarían a tener todas la condiciones necesarias para efectuar el piloto de manera efectiva en agosto; de esta forma se estableció que en el mes de febrero de 2019 se realizará la aplicación piloto de esta prueba adapatativa, logrando en este tiempo  mejorar aspectos técnicos del CAT-Icfes tales como la inclusión de servicios (recordar examinado, recordar ítem, puntaje global al final de la prueba, carga de items desde el inicio), y de la plataforma Plexi.</t>
  </si>
  <si>
    <t xml:space="preserve">Se realizó la calificación de las pruebas Saber 3,5,9 -2017 y  Saber Pro y TyT 2017-3, aplicando la metodología de calificación de 3PL, como se estableció a partir del año 2016. 
</t>
  </si>
  <si>
    <t xml:space="preserve">• Publicación de Informes de resultados de 2013 a 2015 de Factores Asociados: esta actividad ya no es posible realizarla debido a falta de información para poder comparar los datos históricos de esos años.
• Publicación de informe de Escuelas Efectivas: Para esta actividad realizamos el informe a partir de dos documentos y una revisión bibliográfica al rededor del área de Eficacia Escolar, así: 1 documento entregado por Ernesto Treviño de la Universidad de Chile, 2. Nota técnica del documento mencionado en el punto 1, de donde se recuperaron las líneas de regresión que no se apreciaban en el documento, 3. Revisión bibliográfica sobre el desarrollo de estudios de Eficacia Escolar,4. Diagramación del documento, 5 Y finalmente una revisión de estilo.
• Cuestionario de factores asociados para evaluación formativa por estudiante, docente y rector: Realizamos el pilotaje de los cuestionarios de Factores Asociados de los estudiantes en tres ciudades del país (Neiva, Quibdó, y Bogotá) con el fin de identificar datos pertinentes para establecer las escalas de calificación. 
• Adicionalmente realizamos el prototipo de reporte de resultados de FA, en el que se incluyen los escenarios propuestos por la Subdirección de Diseño de Instrumentos.
• También editamos los ítems en Prisma correspondientes a factores asociados para estudiantes y su respectiva validación en banco de ítems.
</t>
  </si>
  <si>
    <t>En el tercer trimestre del año, se realizó la aplicación de las pruebas Saber 11 Insor para 332 estudiantes y la prueba de Ascenso para Mayores de la Policía Nacional con 150 evaluados.
Se finalizó el desarrollo de los requerimientos para garantizar la presentación de las demás pruebas a aplicar en segundo semestre del año, que corresponden a: 
1. Avancemos 4°, 6° y 8° (2da. aplicación)
2. Saber PRO y Saber TyT en el exterior 
Así mismo, se continúa trabajando en los requerimientos para las pruebas del proximo año.</t>
  </si>
  <si>
    <t>Durante el tercer trimestre se actualizo la información relacionada con Procedimiento y Caracterización, se incluyó una Guía de Seguimiento y Control de Cronogramas de Actividades y se ajustaron otros formatos. Por otro lado, se complementa y actualiza la información del Documento denominado Modelo de Negocios y se realiza una socialización con el equipo de trabajo, ajustando contenidos y presentándolo para revisión y aprobación al jefe de la OAP.</t>
  </si>
  <si>
    <t xml:space="preserve">Seguimiento quincenal a las investigaciones que se adelantan en la OAGPI y presentación de algunas investigaciones a la Dirección General. </t>
  </si>
  <si>
    <t>Se ha brindado asistencia técnica a 219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</si>
  <si>
    <t>Se realiza producción de unidades para clientes externos e impresos aprobados por subdirección
Ya se ajustó la meta del proyecto Mejoramiento de la calidad, cobertura y sostenibilidad de la dotación de material para estudiantes con discapacidad visual a Nivel Nacional relacionada con la producción de libros y textos en formatos accesibles en 300.000</t>
  </si>
  <si>
    <t>Se cuenta con 8236 libros digitales accesibles producidos durante la presente vigencia</t>
  </si>
  <si>
    <r>
      <t xml:space="preserve">Se han realizado </t>
    </r>
    <r>
      <rPr>
        <b/>
        <sz val="16"/>
        <rFont val="Calibri"/>
        <family val="2"/>
        <scheme val="minor"/>
      </rPr>
      <t>2009</t>
    </r>
    <r>
      <rPr>
        <sz val="12"/>
        <rFont val="Calibri"/>
        <family val="2"/>
        <scheme val="minor"/>
      </rPr>
      <t xml:space="preserve"> descargas de libros digitales accesibles de la biblioteca virtual para personas con discapacidad visual hasta el momento</t>
    </r>
  </si>
  <si>
    <t>Durante el tercer trimestre se desarrollaron 39 asesorías para un acumulado del año de 86 asesorias; de las cuales se destacan 27 asesorias sobre proceso implementación del decreto 1421 de 2107 a las secretarías de edcucación de Riohacha, San Andres, Pitalito,  Quindío, Piedecuesta, Rionegro, Chía, Cajicá, Montería,  Yopal,  Valledupar, Cesar, Putumayo, Tulua, Armenia, Neiva, Medellin, Duitama, Bogotá, Uribia, Quibdó, Apartadó, Cartagena, Bolívar. Cúcuta, Bucaramanga, Villavicencio.Adicionalmente se hizo Asesoria a SED Cundinamarca para la organizacion de la oferta e diseño de modelo para educacion rural  a través de Asistencia Tecnica a Institución Educativa Ernesto Aparicio Jaramillo La Mesa, A a IEDR Casadillas Bajo Machetá, IED José De San Martí­n y Sede Camilo Torres Tabio,  José María Obando  -El Rosal. ENS San bernardo y Ubaté.Tambíen se desarrolló Asesoria y asistencia técnica a San Ignacio del Oyola - Operador ICBF,   Colegio Republica de Panama,Asociacion de padres y amigos de los sordos del Perú, Ministerio de Educacion del Peru,  y a  Secretaria de educación Escuela normal superior y  Asociación de sordos, sobre educación formal de adultos.</t>
  </si>
  <si>
    <t>Se avanzó en un conjunto de acciones para complementar el documento de acuerdo a la retroalimentación realizada correspondientes a los aportes de las acciones realizadas en el acompañamiento a las secretarias de educación focalizadas (Neiva, Ibagué, Villaviencio, Ibagué, Cúcuta, Bucaramanga, Barranquilla, Cartagena y Medellín; los resultados de la implementación del modelo bilingue de atencion a la primera infancia sorda, primera infancia, educación superior, planeación lingüística, contenidos educativos accesibles  y ajustes razonables alas pruebas saber 1. En este periodo se continuan haciendo acciones que alimentan el desarrollo del documento consolidado de la estrategia integral para el mejoramiento de la calidad educativa de la población sorda y se hace un ajuste en la organización y estructura de los apartados realizados previamente.</t>
  </si>
  <si>
    <t>Se avanzó en el desarrollo de procesos de asesoría y asistencia técnica para la inclusion de poblacion sorda en 16 Instituciones de Educación Superior o formación para el trabajo y el desarrollo humano entre las que se tienens Universidad Nacional de Antioquia, 
de Córdoba, Nacional de Manizales, Fundación FANDIC; Autónoma de Bucaramanga, Metropolitana de Barranquilla;  Fundación Universitaria San Alfonso; Unidades Tecnológicas de Santander; Universidad Central; de las Américas; CES; de Cundinamarca; El Bosque;  de Santander - UDES; Distrital Francisco José de Caldas y la Escuela de Formación en Salud y Administración.
Adicionalmente se avanzó en la estructuración de los contenidos del documento de criterios para la inclusion de los estudiantes sordos a la educación superior, el cual hce parte de  la estrategia de atencion integral para el mejoramiento de la calidad educativa de la población sorda</t>
  </si>
  <si>
    <t>Se finalizó la elaboracion de los cuatro ajustes razonables a la s pruebas Saber 11 relacionados con la traducción, videogracion y edición con incorporacion de apoyos visuales de los items aprobados para las puebeas de Ciencias Naturales, Ciencias Sociales y Competencias Ciudadanas y  Matemáticas, Se realizó  acompañamiento y asesoria a las IE y estudiantees sordos para la aplicación de las pruebas SABER 11 para personas Sordas.
Se realizó gestión y acompañamiento a estudiantes sordos con dificultades en la inscripción y citación de la prueba.
Se realizaron dos videoconferencias de orientaciones para el desarrollo de la prueba Saber 11. 
Adicionalmente frente a la producción de contenidos educativos accesibles la producción avanzó en: 
22 Clases en vivo
1 Corto
8 Lecciones de módulos
Total segundo trimestre: Elaboración de 31 contenidos educativos accesibles. Con esto se completa la meta propuesta al 100%</t>
  </si>
  <si>
    <t xml:space="preserve">Se adelantó un documento de orientaciones para la apertura y gestión de programas de formación de intérpretes en Instituciones de Educación Superior -IES en el marco de la estrategia integral de mejoramiento de la calidad educativa de las personas sordas, el cual está en proceso de retroalimentación para ajustes finales. </t>
  </si>
  <si>
    <t xml:space="preserve">El comportamiento del servicio de credito del FODESP indica que el mayor volumen de sollicitudes se atienden en el cuarto trimestre </t>
  </si>
  <si>
    <t xml:space="preserve">Se da cumplimiento a las actividades programadas para el tercer trimestre del año </t>
  </si>
  <si>
    <t>La actividad se cumplio en el primer trimestre</t>
  </si>
  <si>
    <t xml:space="preserve">Se realizaron as actividades programadas para la realización de las jornadas de rendición de cuentas frente al Consejo de Administración  y Junta de Vigilancia </t>
  </si>
  <si>
    <t>Se realizaron as actividades programadas para la realización de las jornadas de rendición de cuentas frente a los comites</t>
  </si>
  <si>
    <t>Se realizaron las actividades proyectadas  la participación  en eventos de defensade FODESEP.</t>
  </si>
  <si>
    <t>Se dio cumplimienot en el trimestre anterior</t>
  </si>
  <si>
    <t>Se avanza de acuerdo a lo programado para el desarrollo de las actividades .</t>
  </si>
  <si>
    <t>Actividad cumplida en el trimestre anterior</t>
  </si>
  <si>
    <t>Se obtuvo la visita de pares académicos parra 11 programas de educiaciión de la entidad, ya se está a la espera de los tiempos y procedimientos correspondientes al CNA.</t>
  </si>
  <si>
    <t>Se realizó la caracterización de estudiantes de bachillerato y padres de familia, se está trabajando en la caracterización de estudiantes de programas de educación superior</t>
  </si>
  <si>
    <r>
      <t xml:space="preserve">Este avance del 100% esta representado: 1) Mediante resolución 11935 y 11936 se le otorgo </t>
    </r>
    <r>
      <rPr>
        <b/>
        <sz val="10"/>
        <rFont val="Arial"/>
        <family val="2"/>
      </rPr>
      <t>el registro calificado a los programas  Técnica Profesional Operación de Sistemas de Manejo Ambiental  y Tecnología en Gestión Ambiental, y estan registrado el SNIES con los codigos .107336y. 107336respectivamente; 2)Se tiene registrado  en el SACES el nivel profesional  del area de contabilidad;3)Se tiene registrado en el saces el programa Tecnologia en Gestión de la Seguridad Industrial y Salud en el Trabajo; 4)e tiene registrado en el saces el programa el programa Tecnologia el la Gestión en la produción Agoindustrial de Alimentos.</t>
    </r>
  </si>
  <si>
    <t xml:space="preserve">Este avance del 75% está representado:1)  En la realización de talleres a los estudiantes en las competencias que se  evaluan en las pruebas Saber Pro; 2) Se realizo un taller sobre competencias que se  evaluan en las pruebas Saber Pro a los docentes coordinadores de los campos de formación; 3) Se establecio y ejecuto el calendario interno saber Pro, como se puede apreciar en la pagina Weeb en el link </t>
  </si>
  <si>
    <r>
      <t>Este avance del 100%  está representado:  En las diecidietes sesiones que se realizaron -en este trimestre -del diplomado que se viene llevando acabo sobre "</t>
    </r>
    <r>
      <rPr>
        <b/>
        <sz val="10"/>
        <rFont val="Arial"/>
        <family val="2"/>
      </rPr>
      <t>metodologia y técnica de estadistica de investigación"(</t>
    </r>
    <r>
      <rPr>
        <sz val="10"/>
        <rFont val="Arial"/>
        <family val="2"/>
      </rPr>
      <t xml:space="preserve"> contrato 042 del 2018) que tiene como proposito "fortalecer las competencias investigativas del cuerpo docente del INFOTEP para apoyar la condición de investigación en los proceso de acreditación y registro calificado  de los programas"</t>
    </r>
  </si>
  <si>
    <t xml:space="preserve">Este avance del 100%  está representado en que superamos la meta de seis (6) instituciones articuladas , en la actualidad contamos con siete (7). Ademas se vienen desarrollando algunas actividades complementarias a lo academico como:  </t>
  </si>
  <si>
    <t xml:space="preserve">Este avance del 85% está representado:1)  En la participación de los grupos de investigación, con dies (10) proyectos , en el encuentro latiamericano de joves investigadores , realizado en la ciudad de valledupar los días  …..2) Se realizó un ciclo de capacitación en revistas indexadas del 9 al 17 de septiembre. </t>
  </si>
  <si>
    <t>En el 3 trimestre el número total de estudiantes fue de 87 discriminados así : (creole)25; diseño de productos turisticos:21 Seminario de investigación en sociedades de la co creacion 9; taller: Arte y Pintura Tradicional Isleña con Material Reciclable:7  Y 25 Primera Infancia</t>
  </si>
  <si>
    <t>Se ejecutaron dos estrategia  una dirigida al foro de primera infancia y otra  a la actividad denominada dialogando con al comunidad; Las    campañas de divulgación realizadas fueron 9:   Seminario diseño de productos turisticos,Taller de pintura Isleña, 2 mesas de trabajo dialogando con la comunidad en condición de discapacidad,  cursos de creole, Ceremonia de certificación de estudiantes AIPI,  reunión de coordinadores de extensión de la región caribe en Barranquilla, Foro realidades y retos en la primera infancia, Feria de resultados de primera infancia</t>
  </si>
  <si>
    <t>Para el tercer trimestre se realizó alianza con el ICBF para las mesas de trabajo Dialogando con la comunidad para cuidadores de personas en condición de discapacidad</t>
  </si>
  <si>
    <t xml:space="preserve">Se realizaron reuniones periódicamente  para fortalecer los proyectos generados y liderados por el semillero de investigación. Se desarrollaron actividades de campo comprendidas en el ejecución de un proyecto de investigación.El Semillero de Investigación participó en talleres sobre diseño de productos turísticos, gestión del conocimiento, entre otros. </t>
  </si>
  <si>
    <t>El grupo de investigación asistió al encentro de innovación de ACIET.-Medellin. El grupo de Investigación participó en talleres sobre diseño de productos turísticos, gestión del conocimiento, entre otros.</t>
  </si>
  <si>
    <t>Participación del Semillero y Grupo de Investigación en Expociencia.</t>
  </si>
  <si>
    <t>Participación en las actividades desarrolladas por la Red de Emprendimiento Depaertamental.</t>
  </si>
  <si>
    <t>Ya se realizó la contratación de un aliado para la creación de la nueva oferta académica. La cual ya se encuentra registrada en el SACES, con fecha de visita de pares para noviembre.</t>
  </si>
  <si>
    <t>Hay convenios marco con varias IES pero aún no se ha concretado ofertas de programas de pregrado y posgrado.</t>
  </si>
  <si>
    <t>En alianza con la red Colombiana de Internacionalización Nodo caribe, se capacitó a un Docente de Planta en Resolución de Conflictos para comunidades vulnerables con el apoyo de la Universidad de Sallisbury.</t>
  </si>
  <si>
    <t xml:space="preserve">Durante el tercer trimestre 2018 desde el área de bienestar se han realizado las siguientes actividades orientadas a Implementar el Plan de Acceso permanencia y graduación: Adquisición de camisetas institucionales, USB y adquisición de las agendas institucionales,continuan los seguimiento a los casos de posibles deserciones, practicas y presentación del grupo de danzas tipicas y contemporaneas institucional. </t>
  </si>
  <si>
    <t xml:space="preserve">Entre las actividades desarrolladas por bienestar durante este trimestre estan: Taller "Planificación familiar", taller sobre prevención del alcoholismo y drogadicción, cine - foro, desarrollo de un taller de arte y pintura, Atención y primeros auxilios a la comunidad, brigadas de vacunación, caminatas deportivas, Practicas deportivas. </t>
  </si>
  <si>
    <t xml:space="preserve">El contrato de mantenimiento del gimnasio se esta ejecutando actualmente. </t>
  </si>
  <si>
    <t xml:space="preserve">En este trimestre se adelantan las acciones para la compra de elelentos para el área del gimnasio, la compra de trajes tipicos, desarrollo de  talleres y actividades desde el área de salud y desde el area de seguimiento a posibles deserciones. </t>
  </si>
  <si>
    <t>En este trimestre se realizaron las siguientes actividades: prevención del alcoholismo y la drogadicción,  live on friday (recreación y deporte y un cine foro) como estrategia para el desarrollo humano, desarrollo del taller de arte y pintura isleña, taller de matemáticas, socialización de la ruta de atención para víctimas de violencia de género</t>
  </si>
  <si>
    <t>Participación de 3 funcionarios de la institución en actividad académica denominada VIII Simposio Internacional de Investigación Técnica, Profesional, Tecnológica y Universitaria</t>
  </si>
  <si>
    <t>Se desarrolla toda la etapa contractual para la creación y oferta de intercambio cultural internacional, el cual estará enfocado en la cultura escrita: TALLER MEK WI RAYT WI LANGWICH, ALFABETO DEL CRIOLLO LIMONENSE. Será desarrollado en el marco de la semana cultural INFOTEP en el mes de Octubre</t>
  </si>
  <si>
    <t>Capacitación a un docente y al profesional especializado de extensión en “Academic peace leaders for problem solving and conflict resolution for vulnerable communities” por parte de la Universidad Salisbury  y asistencia a la 5ta Reunión del año del Nodo Caribe de la Red Colombiana para la Internacionalización de la Educación Superior (RCI),</t>
  </si>
  <si>
    <t>Se generó contacto con la Oficina de proyectos y cooperacion externa de la Universidad Nacional de Ingeniería de Nicaragua, quienes están interesados en conocer detalles del creole dentro del currículo</t>
  </si>
  <si>
    <t>Se visitó a la Uniremington en medellín, promocionando la inmersión del centro de lenguas. Se contrató una empresa para la expedición de los tiquetes para promocionar el centro de lenguas. Se imprimieron  flyers para la inmersión del centro de lenguas y cultura</t>
  </si>
  <si>
    <t>Se realizó la celebración del dia de la lengua materna. Se participo en el més de abril en el Ciclo de Conferencias del Campo Profesional e Investigativo, del departamento de lenguas en la UCEVA TULÚA, al igual que en el més de junio, se participó en el immersion day en el mes de Junio en la UCEVA de Tulúa se realizarón las vacaciones recreativas con enfasis en inglés con un total de 21 niños, siendo el programa todo un exito.</t>
  </si>
  <si>
    <t>Se contrató a la docente de danzas para la implementación del grupo de danzas del infotep, logrando abrir un grupo de danzas conformado por funcionarios y estudiantes. Se contrató un profesor de inglés y creole para dictar clase en el centro de lenguas , se lograrón abrir 4 cursos de inglés. Se contrató a un profesional especializado en lenguas, hasta el mes de diciembre, en el segundo semestre en el mes de agosto se abrio el curso de creole con 25 estudiantes.</t>
  </si>
  <si>
    <t>El contrato ya fue adjudicado y se está esperando la entrega de los uniformes.</t>
  </si>
  <si>
    <t>Corresponde al contrato de dotacion de la cocina. Ya se entregaron los estudios previos y se tiene CDP</t>
  </si>
  <si>
    <t>Corresponde al contrato del personal a cargo del mantenimiento de los equipos. ( 10 meses). Proximo a finalizar.</t>
  </si>
  <si>
    <t>Pertenece al proceso de apoyo logístico.</t>
  </si>
  <si>
    <t>Se realizó dentro del proceso de cocina.</t>
  </si>
  <si>
    <t>El proceso con los padres de familia se ha llevado a cbo de acuerdo con la programación</t>
  </si>
  <si>
    <t>Corrresponde al contrato de la profesional en psicologia del Proyecto. (10 meses). Ya se encuentra finalizando</t>
  </si>
  <si>
    <t>Ya esta finalizando el proceso de entrega de los bonos a los estudiantes.</t>
  </si>
  <si>
    <t>El evento grande de esta actividad es la Feria De Resultados de Articulación se realiza en el marco de la Semana Cultural de la Institución.</t>
  </si>
  <si>
    <t>Se recibio informe el dia 29 de junio de 2018, con concepto del CNA, donde nose le otorgaron a la institución las condiciones iniciales, para inscripción al sisitema nacional de acreditación, la recomendación fue elaborar un plan de mejoramiento basado en las recomendaciones propuestas por el CNA, por tanto se elaboró plan de mejoramiento pendiente por aprobar por el Consejo Académico y ejecución del mismo en un plazo de un año y medio a dos años</t>
  </si>
  <si>
    <t>Ala fecha de corte  se han matriculado 676 estudiantes de nuevo ingreso en los diferentes programas técnico profesionales.</t>
  </si>
  <si>
    <t>Ala fecha de corte  se han matriculado 2027 estudiantes en los diferentes programas técnico profesionales.</t>
  </si>
  <si>
    <t>Las condiciones de calidad para la nueva oferta de 10 programas por ciclos propedéuticos se encuentran elaboradas, y validadas. Falta proceso de cargue en plataforma SACES</t>
  </si>
  <si>
    <t>Se aplicaron los diferentes instrumentos de medición y evaluación del proceso de autoevaluación institucional, se elaboro informe, plan de mejoramiento y fue socializado a la comunidad</t>
  </si>
  <si>
    <t>En el trimestre semestre académico del año 2018 se han matriculado 346 estudiantes.</t>
  </si>
  <si>
    <t>A la fecha de corte se han ejecutado el 76% de los recursos de inversión, este nivel de inversión se debe al cupo PAC asignado.</t>
  </si>
  <si>
    <t>Para la vigencia 2019 se formularon 2 nuevos proyectos de inversión, los cuales se realizaron con la nueva metodología de cadena de valor con los nuevos programas presupuestales de 2019.</t>
  </si>
  <si>
    <t>Se definió nuevo coordinador de investigación, se reformulo plan de trabajo el cual presenta avances del 50% de lo planeado hasta finalizar la vigencia</t>
  </si>
  <si>
    <t>a la fecha de corte se ha ejecutado el 70% del plan establecido para la internacionalización los programas técnicos profesionales</t>
  </si>
  <si>
    <t>Cumplimiento por Entidad (Ejecutado/Planeado)</t>
  </si>
  <si>
    <t>Promedio de la Dimensión de Talento Humano</t>
  </si>
  <si>
    <t>Promedio de la Dimensión de Direccionamiento Estrategico</t>
  </si>
  <si>
    <t>Promedio de la Dimensión de Valores para Resultados</t>
  </si>
  <si>
    <t>Promedio de la Dimensión de Evaluación de Resultados</t>
  </si>
  <si>
    <t>Promedio de la Dimensión de Información y Comunicación</t>
  </si>
  <si>
    <t>Promedio de la Dimensión de Gestión del Conocimiento</t>
  </si>
  <si>
    <t>Promedio de la Dimensión de Control Interno</t>
  </si>
  <si>
    <t>DIMENSIONES</t>
  </si>
  <si>
    <t>Talento Humano</t>
  </si>
  <si>
    <t>Direccionamiento Estratégico</t>
  </si>
  <si>
    <t>Valores para resultados</t>
  </si>
  <si>
    <t>Evaluación de resultados</t>
  </si>
  <si>
    <t>Información y Comunicación</t>
  </si>
  <si>
    <t>Gestión del Conocimiento</t>
  </si>
  <si>
    <t>Porcentaje de HV cargadas en el SIGEP</t>
  </si>
  <si>
    <t>Presentación de la metodología de costeo consolidada.</t>
  </si>
  <si>
    <t>En el desarrollo cuarto trimestre, el 6 de diciembre en el marco del evento de balance de la Dirección de Evaluación se realizó la socialización del proyecto a todos los equipos de sus subdirecciones, así como en las instalaciones del Icfes al equipo de la Oficina Asesora de Gestión de Proyectos de Investigación y al personal de la Dirección de Tecnología e Información.
Desde la DTI se adelantaron las actividades de almacenamiento de tiempos de respuesta de los examinados, implmentacióndel uso de plexi del servicio recordarExaminado, el desarrollo de interfaz para presentar el puntaje global de las pruebas y llamar el servicio puntajeTotal y la verificación con Banco de ítems la disponibilidad de los mismos para desarrollar  las pruebas de carga.
Desde la SE, se definió el tamaño de la muestra para la realización del piloto, la definición de ítems nuevos que serán incluidos en el pool de ítems y se ajustó el cálculo del puntaje global por redondeo de puntajes por prueba.
Así las cosas, se da cumplimiento a la actividad enfocada a la etapa de diseño y planeación del proyecto estratégico, en el marco de la búsqueda de innovación en los procesos técnicos y tecnológicos para la evaluación de la educación por emdio de un test adaptativo.
Cabe resaltar que los diferentes documentos entregados en la ejecución del proyecto se encuentran en el repositorio de la SE: http://192.168.147.73:8081/administrador/icfesAdaptative y en la carpeta compartida de de Drive: https://drive.google.com/drive/folders/1p1N6qTWgfptRfqOOTAWVpRQzhqBwaqas 
Para la vigencia 2019 se tiene proyectado finalizar el 20% restante del proyecto piloto de pruebas adaptativas para el examen Presaber 2019 y producir informes del análisis del funcionamiento diferencial de las pruebas entre papel, electrónica y CAT.</t>
  </si>
  <si>
    <t>Se procedió a realizar la calificación de Saber Pro y TyT, Pro exterior, TYT Exterior, TyT extemporáneo, Pro Extemporáneo, junto con Saber 11 2018-2, Vlidantes Y Pre Saber con la metodología de 3PL.</t>
  </si>
  <si>
    <t>• Reporte histórico por ETC_ Saber 11: Se realiza el análisis para observar las implicaciones de realizar un reporte histórico de los resultados de la prueba Saber 11, agregando la información de ambas aplicaciones de un año especifico en un resultado agregado para Etc., Municipios y Secretarias.
• Informes de factores asociados para la Evaluación Formativa: Construcción de los textos que acompañan la sección de resultados del reporte; revisión y ajuste de los textos incluidos en la sección de escenarios y sugerencias pedagógicas; construcción de los textos que acompañan los cuadrantes de escenarios.
• Continuar con la publicación de los documentos de características del aprendizaje por ETC y el agregado nacional: Se generaron propuestas de reportes para 3 temas específicos: Ambiente en el aula. Seguimiento al Aprendizaje. Acciones y Actitudes 2. Se creó el algoritmo de automatización para que cada ETC tenga su propio reporte.</t>
  </si>
  <si>
    <t xml:space="preserve">En el cuarto trimestre del año, se realizó la aplicación de las siguientes pruebas:
1. Avancemos 4°, 6° y 8° (2da. aplicación)
2. Prueba de comunicación escrita para el examen Saber Pro en el exterior presentada por 1207 estudiantes. 
3. Saber Pro extemporánea en la cual se presentaron 608 estudiantes de educación superior. </t>
  </si>
  <si>
    <t>Presentación del Documento de Modelo de Negocios del Instituto final.</t>
  </si>
  <si>
    <t>Como resultado de la Agenda de Investigación definida desde la Oficina de Investigaciones, se  publicaron dos documentos de investigación y otros dos informes de investigación fueron entregados como resultado de proyectos desarrollados desde el Icfes en convenio con otras entidades. Asimismo, tres proyectos de investigación desarrollados en la Oficina de Investigaciones fueron presentados en el Seminario Internacional del Icfes. Finalmente, la Oficina fue invitada a participar en un evento académico internacional sobre provisión de información para políticas públicas.</t>
  </si>
  <si>
    <t>Se ha brindado asistencia técnica a 283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</si>
  <si>
    <t>Se realizó la producción de  387695 unidades producidas para clientes externos y 18512  impresos aprobados por subdirección</t>
  </si>
  <si>
    <t xml:space="preserve">Se cuenta con 10936 libros digitales accesibles producidos durante la presente vigencia </t>
  </si>
  <si>
    <t>Se han realizado 3005 descargas de libros digitales accesibles de la biblioteca virtual para personas con discapacidad visual hasta el momento</t>
  </si>
  <si>
    <t>Se da cumplimiento a las actividades programadas para el segundo trimestre, según lo programado en el Plan de Accion Institucional</t>
  </si>
  <si>
    <t xml:space="preserve">En TOTAL, durante el año 2019 se realizaron 153 acciones de asesoría, distribuidas de la siguiente manera:
- 74 a las diferentes secretarías de educación certificadas, de manera presencial o virtual en torno a diferentes temas. 
- 19 a instituciones educativas que trabajan la educación básica, media o el ciclo complementario
- 35 a entidades de educación superior o formación para el trabajo y el desarrollo humano
- 8 en torno a la primera infancia
- 6 sobre la educación para adultos sordos
- 11 a otro tipo de entidades.
La razón principal por la cual se supera la meta, es por la adopción y puesta en funcionamiento del sistema de asesoría virtual," video conferencia Polycom" el cual empieza a consolidarse como un medio funcional, que permitió tener mayor alcance a nivel territorial.
</t>
  </si>
  <si>
    <t>Durante el cuarto trimestre se continuó con el avance de las actividades presupuestadas en el marco del proyecto Colombia primera en educación, atendiendo el desarrollo de la fase de alistamiento (visita in situ a las ciudades faltantes para el desarrollo de los planes de mejoramiento en las instituciones educativas). En el último periodo se asistió a Cúcuta, Medellín, Ibagué, Cali y Cartagena. 
Para estas visitas desde el equipo se estableció el contacto respectivo con las instituciones de cada ciudad para armonizar las agendas. De esa manera se pactaron los encuentros previamente y se llevaron a cabo las salidas a territorio, atendiendo principalmente instituciones educativas, universidades, asociaciones de sordos y secretarias de educación. 
Lo anterior sumado a las asesorías virtuales que pudieran emerger en el marco de los encuentros en cada ciudad, permitieron contar con la información suficiente, la cual fue objeto de procesamiento y análisis para la elaboración definitiva del Documento consolidado de la estrategia integral para el mejoramiento de la calidad educativa de la población sorda.</t>
  </si>
  <si>
    <t>Se avanzó en el desarrollo de procesos de asesoría y asistencia técnica para la inclusión de población sorda en 6 Instituciones de Educación Superior o formación para el trabajo y el desarrollo humano entre las que se tienen: *Corporación tecnológica del Oriente
*SENA
*Universidad Católica del Norte
* Universidad Minuto de Dios
* Universidad nacional
* Universidad San Buenaventura
Finalmente, se finalizo la elaboración del documento de criterios para la inclusión de los estudiantes sordos a la educación superior, el cual hace parte del Documento consolidado de la estrategia integral para el mejoramiento de la calidad educativa de la población sorda.</t>
  </si>
  <si>
    <t>A cierre de la vigencia se dan por terminadas las acciones correspondientes a esta actividad, en desarrollo de la cual se realizaron los ajustes a las pruebas Saber 11 y se construyeron los recursos educativos accesibles para la educación de la población sorda colombiana. Durante el cuarto trimestre se elaboró un informe final que da cuenta de las acciones adelantadas a lo largo del año.</t>
  </si>
  <si>
    <t xml:space="preserve">Se elaboró en su totalidad el documento: “ORIENTACIONES PARA LA CREACIÓN DE PROGRAMAS DE FORMACIÓN DE INTÉRPRETES Y TRADUCTORES DE LSC- ESPAÑOL EN INSTITUCIONES EDUCACIÓN SUPERIOR”, este está constituido por los siguientes apartados: introducción, justificación, avance disciplinar, oferta de la formación de intérpretes, diseño y estructura curricular, asesoría y apoyo técnico del INSOR. </t>
  </si>
  <si>
    <t>Las condiciones de calidad para la nueva oferta de 10 programas por ciclos propedéuticos se encuentran elaboradas, y validadas. Falta el proceso de cargue de información  en plataforma SACES la cual se realizara en la vigencia 2019</t>
  </si>
  <si>
    <t>A diciembre 31 ss ejecuto el 99,9% del plan de inversión para la vigencia 2018</t>
  </si>
  <si>
    <t>Para la vigencia 2019 se formularon 2 nuevos proyectos de inversión, los cuales se realizaron con la nueva metodología de cadena de valor con los nuevos programas presupuestales de 2019 y ambos quedaron dentro de la ley y decreto de liquidación del presupuesto 2019.</t>
  </si>
  <si>
    <t>Se ejecuto el 100% del plan de acción definido para la vigencia 2018</t>
  </si>
  <si>
    <t>Se ejecuto el 90% del plan de acción definido para la vigencia 2018</t>
  </si>
  <si>
    <t>En el 4 trimestre el número total de estudiantes fue de 264 discriminados así: 
1. (20 creole y 15 de ingles) total 35
2.  tecnico laboral en primera infancia 13
3. Taller sobre la escritura del creole 216</t>
  </si>
  <si>
    <t>Se ejecutaron dos estrategias:  
1. Dirigida al intercambio cultural internacional.
2. Taller de proyecto de vida</t>
  </si>
  <si>
    <t xml:space="preserve"> Las    campañas de divulgación realizadas fueron dos
1.  Enfocada a socializar el resultado del intercambio cultural internacional Mek wi rayt wi languich
2. Relacionada con la movilidad realizada por estudiantes de los tres programas </t>
  </si>
  <si>
    <t>Para el cuarto trimestre se realizó actividad con la parroquia la divina misericordia del sector de morris landing en alianza con la FAC para desarrollar actividades con la comunidad del sector.</t>
  </si>
  <si>
    <t xml:space="preserve">Se brindo apoyo al grupo y semillero de investigacion para continuar con el desarrollo de un proyecyo (Rutas Gastronómicas). </t>
  </si>
  <si>
    <t>Se creó la guia metodológica para el desarrollo de proyectos turísticos.</t>
  </si>
  <si>
    <t>Se continuó con la participación de las actividades desarrolladas por la Red de Emprendimiento Departamental.</t>
  </si>
  <si>
    <t>El ministerio de Educación Nacional  asignó pares académicos y se recibió la visita para cuatro de los cinco programas planteados por la institución,  y nos encontramos a la espera del concepto de aprobación por parte del MEN para el mes de febrero del año 2019, según cronograma del SACES.</t>
  </si>
  <si>
    <t>Se estableció una alianza con una universidad de Medellin, donde se ofertaron programas de pregrado.</t>
  </si>
  <si>
    <t>Se realizá fortalecimiento de las competencias en investigación, para así fortalecer el grupo de investigación y lograr la categorización del mismo.</t>
  </si>
  <si>
    <t>En el cuarto trimestre desde el plan de acceso, permanencia y graduación,  se realizaron las actividades que para tal fechas estaban programadas, entre estas actividades estan: 
Seguimiento a los casos de posibles deserciones, 
Prácticas y presentación del grupo de danzas tipicas y contemporaneas institucional.
Entrenamiento fisico y uso del gimnasio
Asesorias desde el área de psicología y salud.
Semana Cultural Universitaria</t>
  </si>
  <si>
    <t>Las actividades desarrolladas en este trimestre fueron: 
Prevención de la Violencia de Género
Prevención del alcoholismo y la drogadicción.
Live on Friday (Desarrollo Humano)
Desarrollo del Taller de Arte y Pintura Tradicional Isleña.
Salud Emocional, Espiritual y Física</t>
  </si>
  <si>
    <t xml:space="preserve">El contrato de mantenimiento del gimnasio se está ejecutando actualmente. </t>
  </si>
  <si>
    <t>Se oficializó la compra de los elelmentos del gimnasio, la compra de los vestidos típicos, Memorias USB.</t>
  </si>
  <si>
    <t>Se desarrollaron las actividades que desde el área de bienestar estaban programas: 
Prevención de la Violencia de Género
Prevención del alcoholismo y la drogadicción.
Live on Friday (Desarrollo Humano)
Desarrollo del Taller de Arte y Pintura Tradicional Isleña.
Salud Emocional, Espiritual y Física</t>
  </si>
  <si>
    <t>Participación de 11 estudiantes de los tres programas tecnicos profesionales en actividades de intercambio a las ciudades de barranquilla y cartagena a las instituciones: ITSA, PCA y COLMAYOR BOLIVAR</t>
  </si>
  <si>
    <t>Se desarrolla el intercambio cultural internacional,  enfocado en la cultura escrita: TALLER MEK WI RAYT WI LANGWICH, ALFABETO DEL CRIOLLO LIMONENSE. Con la presencia de un docente investigador de Costa Rica</t>
  </si>
  <si>
    <t>Se entregó por parte de la Universidad Nacional el documento final relacionado con el estudio del "perfil de la informalidad en San Andrés". Realizado por el ORMET (observatorio del mercado de trabajo) del cual hacemos parte en red desde el mes de julio con distintas instituciones del Departamento</t>
  </si>
  <si>
    <t>Postulación de buena práctica en internacionalización en casa del INFOTEP ante  V Jornada para la Internacionalización de la Educación Superior (JIES 2018), consolidando la vinculación de la institución  en la RCI de ASCUN</t>
  </si>
  <si>
    <t>Se visitó a la Uniremington en Medellín, promocionando la inmersión del centro de lenguas. Se contrató una empresa para la expedición de los tiquetes para promocionar el centro de lenguas. Se imprimieron  flyers para la inmersión del centro de lenguas y cultura, se visitó el colegio modelo Adventista, logrando abrir un curso que se certificó en Diciembre</t>
  </si>
  <si>
    <t>Se realizó la celebración del dia de la lengua materna. Se participó en el més de abril en el Ciclo de Conferencias del Campo Profesional e Investigativo en lenguas, del departamento de lenguas en la UCEVA TULÚA, al igual que en el més de junio, se participó en el immersion day en el mes de Junio en la UCEVA de Tulúa se realizarón las vacaciones recreativas con énfasis en inglés con un total de 21 niños, siendo el programa todo un exito.</t>
  </si>
  <si>
    <t>Se contrató a la docente de danzas para la implementación del grupo de danzas del infotep, logrando abrir un grupo de danzas conformado por funcionarios y estudiantes. Se contrató un profesor de inglés y creole para dictar clase en el centro de lenguas , se lograrón abrir 4 cursos de inglés. Se contrató a un profesional especializado en lenguas, hasta el mes de diciembre, en el segundo semestre en el mes de agosto se abrio el curso de creole con 25 estudiantes; se creo el primer módulo de creole virtual, se trabajó en el diseño de los planes de clases del los cursos de inglés de extensión</t>
  </si>
  <si>
    <t>Se certificaron 74 estudiantes correspondientes a los programas TL en Recepción Ecohotelera y Formación Académica en Inglés</t>
  </si>
  <si>
    <t>333 uniformes entregados (camiseta y gorras)</t>
  </si>
  <si>
    <t>Corresponde al contrato de dotacin de la cocina. Ya se entregaron los estudios previos y se tiene CDP</t>
  </si>
  <si>
    <t>Se realizó el mantenimiento al laboratorio de cocina</t>
  </si>
  <si>
    <t>Se adquirió dotación para el laboratorio de cocina</t>
  </si>
  <si>
    <t>El proceso con los padres de familia se ha llevado a cabo de acuerdo con la programación</t>
  </si>
  <si>
    <t>Se cumplió con las actividades establecidas en el contrato</t>
  </si>
  <si>
    <t>Se entregaron todos los bonos de transporte del proyecto a los estudiantes articulados</t>
  </si>
  <si>
    <r>
      <t>Este avance del 100% esta representado, ademas de las actividades que se realizaron en el trimestres anterior, en la visita de los pares para  v</t>
    </r>
    <r>
      <rPr>
        <b/>
        <sz val="10"/>
        <rFont val="Arial"/>
        <family val="2"/>
      </rPr>
      <t>erificación del cumplimiento de condiciones de calidad para el programa de Contaduría Pública por ciclos propedéuticos</t>
    </r>
  </si>
  <si>
    <t>Se ha venido ejecutando la estrategia de Marketing con actividades de promoción : incluye plegables, boletines , volantes , publicidad radial y visita a los colegios de la guajira y el cesar.</t>
  </si>
  <si>
    <t xml:space="preserve">Este avance del 100% está representado:1)  En la realización de talleres a los estudiantes en las competencias que se  evaluan en las pruebas Saber Pro; 2) Se realizo un taller sobre competencias que se  evaluan en las pruebas Saber Pro a los docentes coordinadores de los campos de formación; 3) Se establecio y ejecuto el calendario interno saber Pro, como se puede apreciar en la pagina Weeb en el link </t>
  </si>
  <si>
    <r>
      <t xml:space="preserve">Este avance del 100% está representado en las actividades de los trimestres anteriores, mas el </t>
    </r>
    <r>
      <rPr>
        <b/>
        <sz val="10"/>
        <rFont val="Arial"/>
        <family val="2"/>
      </rPr>
      <t>el encuentro internacional de investigación realizado los dias 7, 8 y 9 de noviembre 2018.</t>
    </r>
    <r>
      <rPr>
        <sz val="10"/>
        <rFont val="Arial"/>
        <family val="2"/>
      </rPr>
      <t xml:space="preserve"> </t>
    </r>
  </si>
  <si>
    <t>Se realizo el plan de mejoramiento, de acuerdo a las recomendaciones del CNA, el cual fue aprobado por el consejo académico</t>
  </si>
  <si>
    <t>NA</t>
  </si>
  <si>
    <t>Se realizó la caratecrización de los estudiantes de IBT y Programas de educación superior</t>
  </si>
  <si>
    <t xml:space="preserve">l estado actual del proceso de acreditación de los programas se encuentra:
Técnica Profesional en Mantenimiento Industrial           Revisión informe de evaluación externa
Tecnología en Montajes Industriales                                        Para comentarios al Rector
Ingeniería Electromecánica                                                             Con pares designados
Técnica Profesional en Electrónica Industrial                     Revisión informe de evaluación Externa
Tecnología en Automatización Industrial                               Revisión informe de evaluación Externa
Ingeniería Mecatrónica                                                                      Revisión informe de evaluación Externa
Tecnología en Desarrollo de Software                                       Para comentarios del Rector
Ingeniería de Sistemas                                                                         Para comentarios del Rector
Técnica Profesional en Procesos de Manufactura            Revisión informe de Evaluación Externa
Tecnología en Producción Industrial                                          Revisión informe de Evaluación Externa
Ingeniería de Procesos Industriales                                           Revisión informe de Evaluación Externa
</t>
  </si>
  <si>
    <t>65.88%</t>
  </si>
  <si>
    <t>100%</t>
  </si>
  <si>
    <t>%  de cumplimiento</t>
  </si>
  <si>
    <t>Cumplimiento por Entidad</t>
  </si>
  <si>
    <t>% cumplimiento Entidades</t>
  </si>
  <si>
    <t>Promedio cumplimiento Dimensiones</t>
  </si>
  <si>
    <t>Promedio  de cumplimiento de las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</si>
</sst>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 &quot;$&quot;\ * #,##0.00_ ;_ &quot;$&quot;\ * \-#,##0.00_ ;_ &quot;$&quot;\ * &quot;-&quot;??_ ;_ @_ "/>
    <numFmt numFmtId="165" formatCode="_ * #,##0.00_ ;_ * \-#,##0.00_ ;_ * &quot;-&quot;??_ ;_ @_ "/>
    <numFmt numFmtId="166" formatCode="0.0%"/>
    <numFmt numFmtId="167" formatCode="_-* #,##0.00_-;\-* #,##0.00_-;_-* &quot;-&quot;_-;_-@_-"/>
    <numFmt numFmtId="168" formatCode="_-* #,##0.0_-;\-* #,##0.0_-;_-* &quot;-&quot;_-;_-@_-"/>
    <numFmt numFmtId="169" formatCode="&quot;$&quot;\ #,##0_);[Red]\(&quot;$&quot;\ #,##0\)"/>
    <numFmt numFmtId="170" formatCode="#,##0_ ;\-#,##0\ "/>
    <numFmt numFmtId="171" formatCode="#,##0.00_ ;\-#,##0.00\ "/>
    <numFmt numFmtId="172" formatCode="#,##0.000_ ;\-#,##0.000\ "/>
  </numFmts>
  <fonts count="42">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b/>
      <sz val="12"/>
      <color indexed="81"/>
      <name val="Tahoma"/>
      <family val="2"/>
    </font>
    <font>
      <sz val="10"/>
      <name val="Arial"/>
      <family val="2"/>
    </font>
    <font>
      <sz val="12"/>
      <name val="Arial"/>
      <family val="2"/>
    </font>
    <font>
      <sz val="12"/>
      <name val="Calibri"/>
      <family val="2"/>
    </font>
    <font>
      <sz val="10"/>
      <name val="Verdana"/>
      <family val="2"/>
    </font>
    <font>
      <sz val="10"/>
      <color theme="0"/>
      <name val="Arial"/>
      <family val="2"/>
    </font>
    <font>
      <b/>
      <sz val="9"/>
      <name val="Calibri"/>
      <family val="2"/>
      <scheme val="minor"/>
    </font>
    <font>
      <sz val="11"/>
      <name val="Calibri "/>
    </font>
    <font>
      <b/>
      <sz val="9"/>
      <name val="Arial"/>
      <family val="2"/>
    </font>
    <font>
      <sz val="10"/>
      <name val="Calibri"/>
      <family val="2"/>
      <scheme val="minor"/>
    </font>
    <font>
      <b/>
      <sz val="16"/>
      <name val="Calibri"/>
      <family val="2"/>
      <scheme val="minor"/>
    </font>
    <font>
      <b/>
      <sz val="18"/>
      <name val="Calibri"/>
      <family val="2"/>
      <scheme val="minor"/>
    </font>
    <font>
      <u/>
      <sz val="10"/>
      <name val="Arial"/>
      <family val="2"/>
    </font>
    <font>
      <sz val="11"/>
      <color theme="1"/>
      <name val="Calibri "/>
    </font>
    <font>
      <b/>
      <sz val="10"/>
      <name val="Arial"/>
      <family val="2"/>
    </font>
    <font>
      <b/>
      <i/>
      <sz val="10"/>
      <name val="Arial"/>
      <family val="2"/>
    </font>
    <font>
      <b/>
      <sz val="12"/>
      <name val="Arial"/>
      <family val="2"/>
    </font>
    <font>
      <b/>
      <sz val="14"/>
      <name val="Arial"/>
      <family val="2"/>
    </font>
    <font>
      <sz val="12"/>
      <color theme="1"/>
      <name val="Arial"/>
      <family val="2"/>
    </font>
    <font>
      <sz val="9"/>
      <color rgb="FF000000"/>
      <name val="Calibri"/>
      <family val="2"/>
      <scheme val="minor"/>
    </font>
    <font>
      <sz val="9"/>
      <name val="Calibri"/>
      <family val="2"/>
      <scheme val="minor"/>
    </font>
    <font>
      <b/>
      <sz val="9"/>
      <color indexed="81"/>
      <name val="Tahoma"/>
      <family val="2"/>
    </font>
    <font>
      <sz val="9"/>
      <color indexed="81"/>
      <name val="Tahoma"/>
      <family val="2"/>
    </font>
    <font>
      <b/>
      <sz val="10"/>
      <name val="Calibri"/>
      <family val="2"/>
      <scheme val="minor"/>
    </font>
    <font>
      <sz val="9"/>
      <name val="Arial"/>
      <family val="2"/>
    </font>
    <font>
      <sz val="8"/>
      <name val="Arial"/>
      <family val="2"/>
    </font>
    <font>
      <b/>
      <sz val="9"/>
      <color theme="0"/>
      <name val="Arial"/>
      <family val="2"/>
    </font>
    <font>
      <b/>
      <sz val="11"/>
      <color theme="0"/>
      <name val="Arial"/>
      <family val="2"/>
    </font>
    <font>
      <sz val="12"/>
      <color theme="1"/>
      <name val="Calibri"/>
      <family val="2"/>
      <scheme val="minor"/>
    </font>
    <font>
      <sz val="10"/>
      <color rgb="FF000000"/>
      <name val="Arial"/>
      <family val="2"/>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000000"/>
      </patternFill>
    </fill>
    <fill>
      <patternFill patternType="solid">
        <fgColor rgb="FF660066"/>
        <bgColor indexed="64"/>
      </patternFill>
    </fill>
    <fill>
      <patternFill patternType="solid">
        <fgColor rgb="FFFFD5FF"/>
        <bgColor indexed="64"/>
      </patternFill>
    </fill>
    <fill>
      <patternFill patternType="solid">
        <fgColor rgb="FF7030A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diagonal/>
    </border>
    <border>
      <left style="hair">
        <color indexed="64"/>
      </left>
      <right/>
      <top/>
      <bottom/>
      <diagonal/>
    </border>
    <border>
      <left style="hair">
        <color rgb="FF000000"/>
      </left>
      <right/>
      <top/>
      <bottom/>
      <diagonal/>
    </border>
  </borders>
  <cellStyleXfs count="17">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41" fontId="13" fillId="0" borderId="0" applyFont="0" applyFill="0" applyBorder="0" applyAlignment="0" applyProtection="0"/>
    <xf numFmtId="9" fontId="2" fillId="0" borderId="0" applyFont="0" applyFill="0" applyBorder="0" applyAlignment="0" applyProtection="0"/>
    <xf numFmtId="0" fontId="2" fillId="0" borderId="0"/>
    <xf numFmtId="41" fontId="13"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cellStyleXfs>
  <cellXfs count="404">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0" fontId="9" fillId="0" borderId="7" xfId="0" applyFont="1" applyFill="1" applyBorder="1" applyAlignment="1">
      <alignment horizontal="justify" vertical="center" wrapText="1"/>
    </xf>
    <xf numFmtId="0" fontId="5" fillId="0" borderId="7" xfId="0" applyFont="1" applyFill="1" applyBorder="1" applyAlignment="1">
      <alignment horizontal="justify" vertical="center" wrapText="1"/>
    </xf>
    <xf numFmtId="9" fontId="5" fillId="4" borderId="7" xfId="0" applyNumberFormat="1" applyFont="1" applyFill="1" applyBorder="1" applyAlignment="1">
      <alignment horizontal="center" vertical="center"/>
    </xf>
    <xf numFmtId="9" fontId="0" fillId="0" borderId="0" xfId="7" applyFont="1"/>
    <xf numFmtId="0" fontId="5" fillId="4" borderId="7" xfId="0" applyFont="1" applyFill="1" applyBorder="1" applyAlignment="1">
      <alignment horizontal="center" vertical="center"/>
    </xf>
    <xf numFmtId="0" fontId="0" fillId="0" borderId="0" xfId="0"/>
    <xf numFmtId="0" fontId="0" fillId="0" borderId="0" xfId="0" applyAlignment="1">
      <alignment horizontal="center" vertical="center"/>
    </xf>
    <xf numFmtId="0" fontId="6" fillId="8" borderId="7" xfId="0" applyFont="1" applyFill="1" applyBorder="1" applyAlignment="1">
      <alignment horizontal="center"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9" fillId="0" borderId="7" xfId="0" applyFont="1" applyBorder="1" applyAlignment="1">
      <alignment horizontal="justify" vertical="center" wrapText="1"/>
    </xf>
    <xf numFmtId="0" fontId="9" fillId="4" borderId="7" xfId="0" applyFont="1" applyFill="1" applyBorder="1" applyAlignment="1">
      <alignment horizontal="justify" vertical="center" wrapText="1"/>
    </xf>
    <xf numFmtId="9"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left" vertical="top" wrapText="1"/>
    </xf>
    <xf numFmtId="14" fontId="5" fillId="0" borderId="7" xfId="0" applyNumberFormat="1" applyFont="1" applyFill="1" applyBorder="1" applyAlignment="1">
      <alignment horizontal="center" vertical="center" wrapText="1"/>
    </xf>
    <xf numFmtId="9" fontId="5" fillId="4" borderId="7" xfId="7" applyFont="1" applyFill="1" applyBorder="1" applyAlignment="1">
      <alignment horizontal="center" vertical="center"/>
    </xf>
    <xf numFmtId="9" fontId="5" fillId="0" borderId="7" xfId="7" applyFont="1" applyFill="1" applyBorder="1" applyAlignment="1">
      <alignment horizontal="center" vertical="center" wrapText="1"/>
    </xf>
    <xf numFmtId="41" fontId="5" fillId="0" borderId="7" xfId="11" applyFont="1" applyFill="1" applyBorder="1" applyAlignment="1">
      <alignment horizontal="center" vertical="center" wrapText="1"/>
    </xf>
    <xf numFmtId="167" fontId="5" fillId="0" borderId="7" xfId="11" applyNumberFormat="1" applyFont="1" applyFill="1" applyBorder="1" applyAlignment="1">
      <alignment horizontal="center" vertical="center" wrapText="1"/>
    </xf>
    <xf numFmtId="41" fontId="5" fillId="0" borderId="7" xfId="11" applyNumberFormat="1" applyFont="1" applyFill="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41"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9"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7" fontId="5" fillId="4" borderId="7" xfId="11" applyNumberFormat="1"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0" fontId="5" fillId="0" borderId="7" xfId="7"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4" fontId="15" fillId="4" borderId="7" xfId="0" applyNumberFormat="1" applyFont="1" applyFill="1" applyBorder="1" applyAlignment="1">
      <alignment horizontal="center" vertical="center" wrapText="1"/>
    </xf>
    <xf numFmtId="10" fontId="15" fillId="0" borderId="7" xfId="7" applyNumberFormat="1" applyFont="1" applyFill="1" applyBorder="1" applyAlignment="1">
      <alignment horizontal="center" vertical="center" wrapText="1"/>
    </xf>
    <xf numFmtId="0" fontId="15"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4" fillId="4" borderId="7" xfId="0" applyFont="1" applyFill="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readingOrder="1"/>
      <protection locked="0"/>
    </xf>
    <xf numFmtId="0" fontId="14" fillId="0" borderId="7" xfId="0" applyFont="1" applyFill="1" applyBorder="1" applyAlignment="1" applyProtection="1">
      <alignment horizontal="center" vertical="center" wrapText="1"/>
      <protection locked="0"/>
    </xf>
    <xf numFmtId="0" fontId="15" fillId="0" borderId="7" xfId="3" applyFont="1" applyBorder="1" applyAlignment="1">
      <alignment horizontal="center" vertical="center"/>
    </xf>
    <xf numFmtId="41" fontId="15" fillId="0" borderId="7" xfId="11" applyFont="1" applyFill="1" applyBorder="1" applyAlignment="1">
      <alignment horizontal="center" vertical="center" wrapText="1"/>
    </xf>
    <xf numFmtId="0" fontId="0" fillId="0" borderId="0" xfId="0" applyFont="1"/>
    <xf numFmtId="0" fontId="14" fillId="4" borderId="7"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5" fillId="0" borderId="7" xfId="0" applyFont="1" applyFill="1" applyBorder="1" applyAlignment="1">
      <alignment horizontal="right" vertical="center" wrapText="1"/>
    </xf>
    <xf numFmtId="0" fontId="6"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5" fillId="4" borderId="7" xfId="0" applyFont="1" applyFill="1" applyBorder="1" applyAlignment="1">
      <alignment horizontal="center" vertical="center" wrapText="1"/>
    </xf>
    <xf numFmtId="0" fontId="15" fillId="0" borderId="7" xfId="0" applyFont="1" applyBorder="1" applyAlignment="1">
      <alignment horizontal="center" vertical="center" wrapText="1"/>
    </xf>
    <xf numFmtId="9" fontId="15" fillId="0" borderId="7" xfId="0" applyNumberFormat="1" applyFont="1" applyBorder="1" applyAlignment="1">
      <alignment horizontal="center" vertical="center" wrapText="1"/>
    </xf>
    <xf numFmtId="41" fontId="15" fillId="0" borderId="7" xfId="11" applyFont="1" applyBorder="1" applyAlignment="1">
      <alignment horizontal="center" vertical="center" wrapText="1"/>
    </xf>
    <xf numFmtId="14" fontId="15" fillId="0" borderId="7" xfId="0" applyNumberFormat="1" applyFont="1" applyFill="1" applyBorder="1" applyAlignment="1">
      <alignment horizontal="center" vertical="center" wrapText="1"/>
    </xf>
    <xf numFmtId="9" fontId="15" fillId="0" borderId="7" xfId="7" applyFont="1" applyFill="1" applyBorder="1" applyAlignment="1">
      <alignment horizontal="center" vertical="center" wrapText="1"/>
    </xf>
    <xf numFmtId="9" fontId="15" fillId="0" borderId="7" xfId="0" applyNumberFormat="1" applyFont="1" applyFill="1" applyBorder="1" applyAlignment="1">
      <alignment horizontal="center" vertical="center" wrapText="1"/>
    </xf>
    <xf numFmtId="10" fontId="15" fillId="0" borderId="7" xfId="11" applyNumberFormat="1" applyFont="1" applyBorder="1" applyAlignment="1">
      <alignment horizontal="center" vertical="center" wrapText="1"/>
    </xf>
    <xf numFmtId="0" fontId="0" fillId="0" borderId="0" xfId="0" applyFont="1" applyAlignment="1">
      <alignment horizontal="center"/>
    </xf>
    <xf numFmtId="9"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xf>
    <xf numFmtId="0" fontId="0" fillId="0" borderId="7" xfId="0" applyFont="1" applyBorder="1"/>
    <xf numFmtId="0" fontId="17" fillId="0" borderId="0" xfId="0" applyFont="1"/>
    <xf numFmtId="166"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5"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16" fillId="0" borderId="7" xfId="0" applyFont="1" applyFill="1" applyBorder="1" applyAlignment="1" applyProtection="1">
      <alignment horizontal="center" vertical="center" wrapText="1" readingOrder="1"/>
      <protection locked="0"/>
    </xf>
    <xf numFmtId="0" fontId="9" fillId="0" borderId="7" xfId="0" applyFont="1" applyBorder="1" applyAlignment="1">
      <alignment horizontal="center" vertical="center" wrapText="1"/>
    </xf>
    <xf numFmtId="9" fontId="9" fillId="0" borderId="7" xfId="7" applyFont="1" applyBorder="1" applyAlignment="1">
      <alignment horizontal="center" vertical="center" wrapText="1"/>
    </xf>
    <xf numFmtId="0" fontId="9" fillId="4" borderId="7" xfId="0" applyFont="1" applyFill="1" applyBorder="1" applyAlignment="1">
      <alignment horizontal="left"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5" fillId="4" borderId="7" xfId="0" applyFont="1" applyFill="1" applyBorder="1" applyAlignment="1">
      <alignment horizontal="justify" vertical="center" wrapText="1"/>
    </xf>
    <xf numFmtId="9" fontId="5" fillId="0" borderId="7" xfId="0" applyNumberFormat="1" applyFont="1" applyFill="1" applyBorder="1" applyAlignment="1">
      <alignment horizontal="center" vertical="center"/>
    </xf>
    <xf numFmtId="0" fontId="0" fillId="0" borderId="7" xfId="0" applyBorder="1" applyAlignment="1">
      <alignment horizontal="center" vertical="center" wrapText="1"/>
    </xf>
    <xf numFmtId="0" fontId="2" fillId="0" borderId="7" xfId="0" applyFont="1" applyBorder="1" applyAlignment="1">
      <alignment horizontal="center" vertical="center" wrapText="1"/>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7" xfId="0" applyFont="1" applyBorder="1" applyAlignment="1">
      <alignment horizontal="justify" vertical="center" wrapText="1"/>
    </xf>
    <xf numFmtId="0" fontId="0" fillId="0" borderId="9" xfId="0" applyFont="1" applyBorder="1" applyAlignment="1">
      <alignment horizontal="center" vertical="center"/>
    </xf>
    <xf numFmtId="41" fontId="0" fillId="0" borderId="9" xfId="11" applyFont="1" applyBorder="1" applyAlignment="1">
      <alignment horizontal="center" vertical="center"/>
    </xf>
    <xf numFmtId="169" fontId="5"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0" fontId="6" fillId="8"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9" fontId="15" fillId="0" borderId="7" xfId="0" applyNumberFormat="1" applyFont="1" applyFill="1" applyBorder="1" applyAlignment="1">
      <alignment horizontal="center" vertical="center" wrapText="1"/>
    </xf>
    <xf numFmtId="9" fontId="15" fillId="0" borderId="7" xfId="7" applyFont="1" applyFill="1" applyBorder="1" applyAlignment="1">
      <alignment horizontal="center" vertical="center" wrapText="1"/>
    </xf>
    <xf numFmtId="9" fontId="15" fillId="0" borderId="7" xfId="0" applyNumberFormat="1" applyFont="1" applyBorder="1" applyAlignment="1">
      <alignment horizontal="center" vertical="center" wrapText="1"/>
    </xf>
    <xf numFmtId="41" fontId="15" fillId="0" borderId="7" xfId="11" applyFont="1" applyBorder="1" applyAlignment="1">
      <alignment horizontal="center" vertical="center" wrapText="1"/>
    </xf>
    <xf numFmtId="0" fontId="9" fillId="0" borderId="7" xfId="3" applyFont="1" applyBorder="1" applyAlignment="1">
      <alignment horizontal="center" vertical="center" wrapText="1"/>
    </xf>
    <xf numFmtId="14"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0" fontId="18" fillId="8" borderId="7" xfId="0" applyFont="1" applyFill="1" applyBorder="1" applyAlignment="1">
      <alignment horizontal="center" vertical="center"/>
    </xf>
    <xf numFmtId="0" fontId="18" fillId="8" borderId="7" xfId="0" applyFont="1" applyFill="1" applyBorder="1" applyAlignment="1">
      <alignment horizontal="center" vertical="center" wrapText="1"/>
    </xf>
    <xf numFmtId="9" fontId="19" fillId="4" borderId="7" xfId="12"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0" fillId="0" borderId="7" xfId="0" applyFont="1" applyBorder="1"/>
    <xf numFmtId="0" fontId="20" fillId="8" borderId="7" xfId="0" applyFont="1" applyFill="1" applyBorder="1" applyAlignment="1">
      <alignment horizontal="center" vertical="center"/>
    </xf>
    <xf numFmtId="0" fontId="20" fillId="8" borderId="7" xfId="0" applyFont="1" applyFill="1" applyBorder="1" applyAlignment="1">
      <alignment horizontal="center" vertical="center" wrapText="1"/>
    </xf>
    <xf numFmtId="9" fontId="19" fillId="4" borderId="7" xfId="12" applyFont="1" applyFill="1" applyBorder="1" applyAlignment="1">
      <alignment horizontal="center" vertical="center" wrapText="1"/>
    </xf>
    <xf numFmtId="9" fontId="5" fillId="4" borderId="7" xfId="12" applyFont="1" applyFill="1" applyBorder="1" applyAlignment="1">
      <alignment horizontal="center" vertical="center"/>
    </xf>
    <xf numFmtId="9" fontId="5" fillId="0" borderId="7" xfId="12" applyFont="1" applyFill="1" applyBorder="1" applyAlignment="1">
      <alignment horizontal="center" vertical="center"/>
    </xf>
    <xf numFmtId="9" fontId="9" fillId="0" borderId="7" xfId="12" applyFont="1" applyBorder="1" applyAlignment="1">
      <alignment horizontal="center" vertical="center" wrapText="1"/>
    </xf>
    <xf numFmtId="9" fontId="9" fillId="0" borderId="7" xfId="12" applyFont="1" applyFill="1" applyBorder="1" applyAlignment="1">
      <alignment horizontal="center" vertical="center" wrapText="1"/>
    </xf>
    <xf numFmtId="0" fontId="0" fillId="0" borderId="0" xfId="0" applyFont="1" applyAlignment="1">
      <alignment horizontal="center" vertical="center"/>
    </xf>
    <xf numFmtId="9" fontId="5" fillId="0" borderId="7" xfId="12" applyFont="1" applyFill="1" applyBorder="1" applyAlignment="1">
      <alignment horizontal="center" vertical="center" wrapText="1"/>
    </xf>
    <xf numFmtId="41" fontId="5" fillId="0" borderId="7" xfId="15" applyFont="1" applyFill="1" applyBorder="1" applyAlignment="1">
      <alignment horizontal="center" vertical="center" wrapText="1"/>
    </xf>
    <xf numFmtId="0" fontId="0" fillId="0" borderId="7" xfId="0" applyFont="1" applyBorder="1" applyAlignment="1">
      <alignment vertical="center" wrapText="1"/>
    </xf>
    <xf numFmtId="41" fontId="5" fillId="0" borderId="7" xfId="15" applyFont="1" applyFill="1" applyBorder="1" applyAlignment="1">
      <alignment horizontal="right" vertical="center" wrapText="1"/>
    </xf>
    <xf numFmtId="9" fontId="5" fillId="0" borderId="7" xfId="12" applyFont="1" applyFill="1" applyBorder="1" applyAlignment="1">
      <alignment horizontal="right" vertical="center" wrapText="1"/>
    </xf>
    <xf numFmtId="10" fontId="2" fillId="0" borderId="7" xfId="0" applyNumberFormat="1" applyFont="1" applyFill="1" applyBorder="1" applyAlignment="1">
      <alignment horizontal="center" vertical="center" wrapText="1"/>
    </xf>
    <xf numFmtId="10" fontId="2" fillId="0" borderId="7" xfId="0" applyNumberFormat="1" applyFont="1" applyBorder="1" applyAlignment="1">
      <alignment horizontal="left" vertical="center" wrapText="1"/>
    </xf>
    <xf numFmtId="166" fontId="2" fillId="0" borderId="7" xfId="12" applyNumberFormat="1" applyFont="1" applyFill="1" applyBorder="1" applyAlignment="1">
      <alignment horizontal="center" vertical="center" wrapText="1"/>
    </xf>
    <xf numFmtId="9" fontId="19" fillId="0" borderId="7" xfId="3" applyNumberFormat="1" applyFont="1" applyBorder="1" applyAlignment="1">
      <alignment horizontal="center" vertical="center"/>
    </xf>
    <xf numFmtId="9" fontId="21" fillId="0" borderId="0" xfId="0" applyNumberFormat="1" applyFont="1" applyAlignment="1">
      <alignment horizontal="center" vertical="center"/>
    </xf>
    <xf numFmtId="0" fontId="2" fillId="0" borderId="7" xfId="0" applyFont="1" applyBorder="1" applyAlignment="1">
      <alignment vertical="top" wrapText="1"/>
    </xf>
    <xf numFmtId="0" fontId="2" fillId="0" borderId="7" xfId="0" applyFont="1" applyBorder="1" applyAlignment="1">
      <alignment horizontal="left" vertical="top" wrapText="1"/>
    </xf>
    <xf numFmtId="0" fontId="2" fillId="0" borderId="7" xfId="0" applyFont="1" applyFill="1" applyBorder="1" applyAlignment="1">
      <alignment vertical="top" wrapText="1"/>
    </xf>
    <xf numFmtId="170" fontId="5" fillId="0" borderId="7" xfId="11" applyNumberFormat="1" applyFont="1" applyFill="1" applyBorder="1" applyAlignment="1">
      <alignment horizontal="center" vertical="center" wrapText="1"/>
    </xf>
    <xf numFmtId="171" fontId="5" fillId="0" borderId="7" xfId="11" applyNumberFormat="1" applyFont="1" applyFill="1" applyBorder="1" applyAlignment="1">
      <alignment horizontal="center" vertical="center" wrapText="1"/>
    </xf>
    <xf numFmtId="172" fontId="0" fillId="0" borderId="7" xfId="11" applyNumberFormat="1" applyFont="1" applyBorder="1" applyAlignment="1">
      <alignment horizontal="center" vertical="center"/>
    </xf>
    <xf numFmtId="172" fontId="5" fillId="0" borderId="7" xfId="11" applyNumberFormat="1" applyFont="1" applyFill="1" applyBorder="1" applyAlignment="1">
      <alignment horizontal="center" vertical="center" wrapText="1"/>
    </xf>
    <xf numFmtId="9" fontId="0" fillId="4" borderId="7" xfId="0" applyNumberFormat="1" applyFont="1" applyFill="1" applyBorder="1" applyAlignment="1">
      <alignment horizontal="center" vertical="center"/>
    </xf>
    <xf numFmtId="0" fontId="0" fillId="0" borderId="7" xfId="0" applyFont="1" applyBorder="1" applyAlignment="1">
      <alignment vertical="top" wrapText="1"/>
    </xf>
    <xf numFmtId="0" fontId="0" fillId="0" borderId="7" xfId="0" applyFont="1" applyFill="1" applyBorder="1" applyAlignment="1">
      <alignment vertical="center" wrapText="1"/>
    </xf>
    <xf numFmtId="9" fontId="15" fillId="0" borderId="7" xfId="12" applyFont="1" applyFill="1" applyBorder="1" applyAlignment="1">
      <alignment horizontal="center" vertical="center" wrapText="1"/>
    </xf>
    <xf numFmtId="9" fontId="15" fillId="0" borderId="7" xfId="12" applyFont="1" applyBorder="1" applyAlignment="1">
      <alignment horizontal="center" vertical="center" wrapText="1"/>
    </xf>
    <xf numFmtId="0" fontId="0" fillId="0" borderId="7" xfId="0" applyFont="1" applyBorder="1" applyAlignment="1">
      <alignment wrapText="1"/>
    </xf>
    <xf numFmtId="9"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10" fontId="2" fillId="0" borderId="7" xfId="0" applyNumberFormat="1" applyFont="1" applyBorder="1" applyAlignment="1">
      <alignment horizontal="left" vertical="center" wrapText="1"/>
    </xf>
    <xf numFmtId="0" fontId="5"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15" fillId="0" borderId="7" xfId="7" applyFont="1" applyFill="1" applyBorder="1" applyAlignment="1">
      <alignment horizontal="center" vertical="center" wrapText="1"/>
    </xf>
    <xf numFmtId="9" fontId="5" fillId="4" borderId="7" xfId="12" applyNumberFormat="1" applyFont="1" applyFill="1" applyBorder="1" applyAlignment="1">
      <alignment horizontal="center" vertical="center" wrapText="1"/>
    </xf>
    <xf numFmtId="9" fontId="0" fillId="0" borderId="7" xfId="12" applyNumberFormat="1" applyFont="1" applyBorder="1" applyAlignment="1">
      <alignment horizontal="center" vertical="center"/>
    </xf>
    <xf numFmtId="9" fontId="0" fillId="4" borderId="7" xfId="12" applyNumberFormat="1" applyFont="1" applyFill="1" applyBorder="1" applyAlignment="1">
      <alignment horizontal="center" vertical="center"/>
    </xf>
    <xf numFmtId="9" fontId="0" fillId="0" borderId="0" xfId="0" applyNumberFormat="1" applyFont="1" applyAlignment="1">
      <alignment horizontal="center" vertical="center"/>
    </xf>
    <xf numFmtId="9" fontId="2" fillId="0" borderId="7" xfId="0" applyNumberFormat="1" applyFont="1" applyBorder="1" applyAlignment="1">
      <alignment horizontal="center" vertical="center" wrapText="1"/>
    </xf>
    <xf numFmtId="9" fontId="21" fillId="0" borderId="7" xfId="0" applyNumberFormat="1" applyFont="1" applyBorder="1" applyAlignment="1">
      <alignment horizontal="center" vertical="center"/>
    </xf>
    <xf numFmtId="9" fontId="5" fillId="0" borderId="7" xfId="0" applyNumberFormat="1" applyFont="1" applyBorder="1" applyAlignment="1">
      <alignment horizontal="center" vertical="center"/>
    </xf>
    <xf numFmtId="0" fontId="9" fillId="4"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0" xfId="0" applyFont="1" applyAlignment="1">
      <alignment horizontal="center" vertical="center" wrapText="1"/>
    </xf>
    <xf numFmtId="9" fontId="19" fillId="0" borderId="7" xfId="12" applyFont="1" applyFill="1" applyBorder="1" applyAlignment="1">
      <alignment horizontal="center" vertical="center" wrapText="1"/>
    </xf>
    <xf numFmtId="9" fontId="25" fillId="0" borderId="7" xfId="12" applyFont="1" applyFill="1" applyBorder="1" applyAlignment="1">
      <alignment horizontal="center" vertical="center" wrapText="1"/>
    </xf>
    <xf numFmtId="0" fontId="0" fillId="0" borderId="7" xfId="0" applyFont="1" applyBorder="1" applyAlignment="1">
      <alignment horizontal="left" vertical="top" wrapText="1"/>
    </xf>
    <xf numFmtId="0" fontId="0" fillId="0" borderId="7" xfId="0" applyFont="1" applyBorder="1" applyAlignment="1">
      <alignment vertical="top"/>
    </xf>
    <xf numFmtId="0" fontId="5" fillId="0" borderId="7" xfId="0" applyFont="1" applyFill="1" applyBorder="1" applyAlignment="1">
      <alignment vertical="center" wrapText="1"/>
    </xf>
    <xf numFmtId="9" fontId="5" fillId="0" borderId="13" xfId="12" applyFont="1" applyFill="1" applyBorder="1" applyAlignment="1">
      <alignment horizontal="center" vertical="center"/>
    </xf>
    <xf numFmtId="9" fontId="5" fillId="0" borderId="7" xfId="12" applyFont="1" applyBorder="1" applyAlignment="1">
      <alignment horizontal="center" vertical="center"/>
    </xf>
    <xf numFmtId="9" fontId="0" fillId="0" borderId="7" xfId="7" applyFont="1" applyBorder="1" applyAlignment="1">
      <alignment horizontal="center" vertical="center" wrapText="1"/>
    </xf>
    <xf numFmtId="9" fontId="15" fillId="0" borderId="7" xfId="7" applyFont="1" applyBorder="1" applyAlignment="1">
      <alignment horizontal="center" vertical="center" wrapText="1"/>
    </xf>
    <xf numFmtId="0" fontId="2" fillId="0" borderId="7" xfId="0" applyFont="1" applyBorder="1" applyAlignment="1">
      <alignment horizontal="center" vertical="center" wrapText="1"/>
    </xf>
    <xf numFmtId="9"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10" fontId="2" fillId="0" borderId="7" xfId="0" applyNumberFormat="1" applyFont="1" applyBorder="1" applyAlignment="1">
      <alignment horizontal="left" vertical="center" wrapText="1"/>
    </xf>
    <xf numFmtId="10" fontId="2" fillId="0" borderId="7" xfId="0" applyNumberFormat="1" applyFont="1" applyFill="1" applyBorder="1" applyAlignment="1">
      <alignment horizontal="center" vertical="center" wrapText="1"/>
    </xf>
    <xf numFmtId="9" fontId="15" fillId="0" borderId="7" xfId="0" applyNumberFormat="1" applyFont="1" applyFill="1" applyBorder="1" applyAlignment="1">
      <alignment horizontal="center" vertical="center" wrapText="1"/>
    </xf>
    <xf numFmtId="0" fontId="0" fillId="0" borderId="7" xfId="0" applyFont="1" applyBorder="1" applyAlignment="1">
      <alignment horizontal="left" vertical="center" wrapText="1"/>
    </xf>
    <xf numFmtId="0" fontId="0" fillId="0" borderId="7" xfId="0" applyFont="1" applyBorder="1" applyAlignment="1">
      <alignment horizontal="center" vertical="center" wrapText="1"/>
    </xf>
    <xf numFmtId="9" fontId="0" fillId="0" borderId="7" xfId="7"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5" fillId="0" borderId="7" xfId="0" applyFont="1" applyFill="1" applyBorder="1" applyAlignment="1">
      <alignment horizontal="center" vertical="center" wrapText="1"/>
    </xf>
    <xf numFmtId="9" fontId="20" fillId="11" borderId="7" xfId="7" applyFont="1" applyFill="1" applyBorder="1" applyAlignment="1">
      <alignment horizontal="center" vertical="center" wrapText="1" readingOrder="1"/>
    </xf>
    <xf numFmtId="0" fontId="11" fillId="11" borderId="7" xfId="0" applyFont="1" applyFill="1" applyBorder="1" applyAlignment="1">
      <alignment horizontal="center" vertical="center" wrapText="1"/>
    </xf>
    <xf numFmtId="9" fontId="20" fillId="11" borderId="8" xfId="7" applyFont="1" applyFill="1" applyBorder="1" applyAlignment="1">
      <alignment horizontal="center" vertical="center" wrapText="1" readingOrder="1"/>
    </xf>
    <xf numFmtId="9" fontId="15" fillId="0" borderId="16" xfId="0" applyNumberFormat="1" applyFont="1" applyFill="1" applyBorder="1" applyAlignment="1">
      <alignment horizontal="center" vertical="center" wrapText="1"/>
    </xf>
    <xf numFmtId="166" fontId="0" fillId="0" borderId="7" xfId="12" applyNumberFormat="1" applyFont="1" applyBorder="1" applyAlignment="1">
      <alignment horizontal="center" vertical="center"/>
    </xf>
    <xf numFmtId="166" fontId="0" fillId="0" borderId="7" xfId="12" applyNumberFormat="1" applyFont="1" applyBorder="1" applyAlignment="1">
      <alignment horizontal="center" vertical="center" wrapText="1"/>
    </xf>
    <xf numFmtId="10" fontId="0" fillId="0" borderId="7" xfId="12" applyNumberFormat="1" applyFont="1" applyBorder="1" applyAlignment="1">
      <alignment horizontal="center" vertical="center"/>
    </xf>
    <xf numFmtId="0" fontId="2" fillId="0" borderId="7" xfId="0" applyFont="1" applyBorder="1" applyAlignment="1">
      <alignment vertical="center" wrapText="1"/>
    </xf>
    <xf numFmtId="9" fontId="0" fillId="0" borderId="7" xfId="12" applyFont="1" applyBorder="1" applyAlignment="1">
      <alignment horizontal="center" vertical="center" wrapText="1"/>
    </xf>
    <xf numFmtId="10" fontId="0" fillId="0" borderId="7" xfId="12" applyNumberFormat="1" applyFont="1" applyBorder="1" applyAlignment="1">
      <alignment horizontal="center" vertical="center" wrapText="1"/>
    </xf>
    <xf numFmtId="0" fontId="14" fillId="0" borderId="7" xfId="0" applyFont="1" applyBorder="1" applyAlignment="1">
      <alignment horizontal="center" vertical="center"/>
    </xf>
    <xf numFmtId="3" fontId="30" fillId="0" borderId="1" xfId="3" applyNumberFormat="1" applyFont="1" applyFill="1" applyBorder="1" applyAlignment="1">
      <alignment horizontal="center" vertical="center"/>
    </xf>
    <xf numFmtId="0" fontId="2" fillId="0" borderId="7" xfId="0" applyFont="1" applyFill="1" applyBorder="1" applyAlignment="1">
      <alignment horizontal="left" vertical="center" wrapText="1"/>
    </xf>
    <xf numFmtId="9" fontId="2" fillId="0" borderId="7" xfId="0" applyNumberFormat="1" applyFont="1" applyFill="1" applyBorder="1" applyAlignment="1">
      <alignment horizontal="center" vertical="center" wrapText="1"/>
    </xf>
    <xf numFmtId="9" fontId="2" fillId="0" borderId="7" xfId="12" applyFont="1" applyFill="1" applyBorder="1" applyAlignment="1">
      <alignment horizontal="center" vertical="center" wrapText="1"/>
    </xf>
    <xf numFmtId="9" fontId="0" fillId="0" borderId="7" xfId="0" applyNumberFormat="1" applyFont="1" applyFill="1" applyBorder="1" applyAlignment="1">
      <alignment horizontal="center" vertical="center"/>
    </xf>
    <xf numFmtId="9" fontId="0" fillId="0" borderId="7" xfId="0" applyNumberFormat="1" applyFont="1" applyFill="1" applyBorder="1" applyAlignment="1">
      <alignment horizontal="center" vertical="center" wrapText="1"/>
    </xf>
    <xf numFmtId="9" fontId="0" fillId="0" borderId="7" xfId="12" applyFont="1" applyFill="1" applyBorder="1" applyAlignment="1">
      <alignment horizontal="center" vertical="center"/>
    </xf>
    <xf numFmtId="0" fontId="2" fillId="0" borderId="7" xfId="0" applyFont="1" applyFill="1" applyBorder="1" applyAlignment="1">
      <alignment horizontal="left" vertical="top" wrapText="1"/>
    </xf>
    <xf numFmtId="0" fontId="2" fillId="0" borderId="7" xfId="0" applyFont="1" applyFill="1" applyBorder="1" applyAlignment="1">
      <alignment vertical="top"/>
    </xf>
    <xf numFmtId="9" fontId="0" fillId="0" borderId="0" xfId="12" applyFont="1" applyFill="1" applyAlignment="1">
      <alignment horizontal="center" vertical="center"/>
    </xf>
    <xf numFmtId="9" fontId="31" fillId="0" borderId="7" xfId="7" applyFont="1" applyFill="1" applyBorder="1" applyAlignment="1">
      <alignment horizontal="left" vertical="center"/>
    </xf>
    <xf numFmtId="0" fontId="32" fillId="0" borderId="7" xfId="0" applyFont="1" applyFill="1" applyBorder="1" applyAlignment="1">
      <alignment horizontal="left" vertical="center" wrapText="1"/>
    </xf>
    <xf numFmtId="9" fontId="31" fillId="0" borderId="7" xfId="0" applyNumberFormat="1" applyFont="1" applyFill="1" applyBorder="1" applyAlignment="1">
      <alignment horizontal="left" vertical="center"/>
    </xf>
    <xf numFmtId="9" fontId="32" fillId="0" borderId="16" xfId="0" applyNumberFormat="1" applyFont="1" applyFill="1" applyBorder="1" applyAlignment="1">
      <alignment horizontal="left" vertical="center"/>
    </xf>
    <xf numFmtId="0" fontId="32" fillId="0" borderId="16" xfId="0" applyFont="1" applyFill="1" applyBorder="1" applyAlignment="1">
      <alignment horizontal="left" vertical="center" wrapText="1"/>
    </xf>
    <xf numFmtId="9" fontId="32" fillId="0" borderId="16" xfId="0" applyNumberFormat="1" applyFont="1" applyFill="1" applyBorder="1" applyAlignment="1">
      <alignment horizontal="left" vertical="center" wrapText="1"/>
    </xf>
    <xf numFmtId="9" fontId="32" fillId="0" borderId="0" xfId="0" applyNumberFormat="1" applyFont="1" applyFill="1" applyAlignment="1">
      <alignment horizontal="left" vertical="center"/>
    </xf>
    <xf numFmtId="0" fontId="31" fillId="0" borderId="7" xfId="0" applyFont="1" applyFill="1" applyBorder="1" applyAlignment="1">
      <alignment horizontal="left" vertical="center" wrapText="1"/>
    </xf>
    <xf numFmtId="9" fontId="31" fillId="0" borderId="7" xfId="7" applyNumberFormat="1" applyFont="1" applyFill="1" applyBorder="1" applyAlignment="1">
      <alignment horizontal="left" vertical="center"/>
    </xf>
    <xf numFmtId="0" fontId="32" fillId="0" borderId="16" xfId="0" applyFont="1" applyFill="1" applyBorder="1" applyAlignment="1">
      <alignment horizontal="left" vertical="center"/>
    </xf>
    <xf numFmtId="9" fontId="32" fillId="0" borderId="16" xfId="7" applyNumberFormat="1" applyFont="1" applyFill="1" applyBorder="1" applyAlignment="1">
      <alignment horizontal="left" vertical="center"/>
    </xf>
    <xf numFmtId="9" fontId="0" fillId="0" borderId="7" xfId="0" applyNumberFormat="1" applyFont="1" applyBorder="1" applyAlignment="1">
      <alignment horizontal="center" vertical="center" wrapText="1"/>
    </xf>
    <xf numFmtId="0" fontId="2" fillId="0" borderId="7" xfId="0" applyFont="1" applyBorder="1" applyAlignment="1">
      <alignment wrapText="1"/>
    </xf>
    <xf numFmtId="9" fontId="15" fillId="0" borderId="7" xfId="15" applyNumberFormat="1" applyFont="1" applyFill="1" applyBorder="1" applyAlignment="1">
      <alignment horizontal="center" vertical="center" wrapText="1"/>
    </xf>
    <xf numFmtId="0" fontId="2" fillId="0" borderId="7" xfId="0" applyFont="1" applyFill="1" applyBorder="1" applyAlignment="1">
      <alignment horizontal="center" wrapText="1"/>
    </xf>
    <xf numFmtId="0" fontId="0" fillId="0" borderId="7" xfId="0" applyFont="1" applyFill="1" applyBorder="1" applyAlignment="1">
      <alignment wrapText="1"/>
    </xf>
    <xf numFmtId="9" fontId="25" fillId="4" borderId="7" xfId="12"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2" fillId="0" borderId="0" xfId="0" applyFont="1" applyAlignment="1">
      <alignment horizontal="center" vertical="center" wrapText="1"/>
    </xf>
    <xf numFmtId="0" fontId="0" fillId="0" borderId="7" xfId="0" applyFont="1" applyBorder="1" applyAlignment="1">
      <alignment horizontal="center"/>
    </xf>
    <xf numFmtId="9" fontId="6" fillId="11" borderId="7" xfId="0" applyNumberFormat="1" applyFont="1" applyFill="1" applyBorder="1" applyAlignment="1">
      <alignment horizontal="center" vertical="center"/>
    </xf>
    <xf numFmtId="0" fontId="0" fillId="0" borderId="0" xfId="0" applyFont="1" applyBorder="1"/>
    <xf numFmtId="0" fontId="35" fillId="11" borderId="7" xfId="0" applyFont="1" applyFill="1" applyBorder="1" applyAlignment="1">
      <alignment horizontal="center" vertical="center" wrapText="1"/>
    </xf>
    <xf numFmtId="0" fontId="6" fillId="11" borderId="7" xfId="0" applyFont="1" applyFill="1" applyBorder="1" applyAlignment="1">
      <alignment horizontal="center" vertical="center" wrapText="1"/>
    </xf>
    <xf numFmtId="9" fontId="6" fillId="11" borderId="7" xfId="3" applyNumberFormat="1" applyFont="1" applyFill="1" applyBorder="1" applyAlignment="1">
      <alignment horizontal="center" vertical="center" wrapText="1"/>
    </xf>
    <xf numFmtId="9" fontId="11" fillId="11" borderId="7" xfId="12" applyFont="1" applyFill="1" applyBorder="1" applyAlignment="1">
      <alignment horizontal="center" vertical="center" wrapText="1"/>
    </xf>
    <xf numFmtId="0" fontId="5" fillId="0" borderId="0" xfId="0" applyFont="1"/>
    <xf numFmtId="9" fontId="6" fillId="11" borderId="7" xfId="7" applyFont="1" applyFill="1" applyBorder="1" applyAlignment="1">
      <alignment horizontal="center" vertical="center"/>
    </xf>
    <xf numFmtId="9" fontId="6" fillId="11" borderId="7" xfId="3" applyNumberFormat="1" applyFont="1" applyFill="1" applyBorder="1" applyAlignment="1">
      <alignment horizontal="center" vertical="center"/>
    </xf>
    <xf numFmtId="9" fontId="6" fillId="11" borderId="7" xfId="7" applyFont="1" applyFill="1" applyBorder="1" applyAlignment="1">
      <alignment horizontal="center" vertical="center" wrapText="1" readingOrder="1"/>
    </xf>
    <xf numFmtId="9" fontId="6" fillId="11" borderId="15" xfId="12" applyFont="1" applyFill="1" applyBorder="1" applyAlignment="1">
      <alignment horizontal="center" vertical="center"/>
    </xf>
    <xf numFmtId="0" fontId="0" fillId="0" borderId="15" xfId="0" applyBorder="1"/>
    <xf numFmtId="0" fontId="0" fillId="0" borderId="8" xfId="0" applyBorder="1"/>
    <xf numFmtId="0" fontId="0" fillId="0" borderId="17" xfId="0" applyBorder="1"/>
    <xf numFmtId="9" fontId="26" fillId="11" borderId="7" xfId="0" applyNumberFormat="1" applyFont="1" applyFill="1" applyBorder="1" applyAlignment="1">
      <alignment horizontal="center" vertical="center"/>
    </xf>
    <xf numFmtId="9" fontId="36" fillId="0" borderId="7" xfId="12" applyFont="1" applyFill="1" applyBorder="1" applyAlignment="1">
      <alignment horizontal="center" vertical="center" wrapText="1" readingOrder="1"/>
    </xf>
    <xf numFmtId="0" fontId="26" fillId="0" borderId="0" xfId="0" applyFont="1"/>
    <xf numFmtId="9" fontId="20" fillId="0" borderId="7" xfId="12" applyFont="1" applyFill="1" applyBorder="1" applyAlignment="1">
      <alignment horizontal="center" vertical="center" wrapText="1" readingOrder="1"/>
    </xf>
    <xf numFmtId="0" fontId="37" fillId="0" borderId="0" xfId="0" applyFont="1"/>
    <xf numFmtId="9" fontId="20" fillId="11" borderId="7" xfId="12" applyFont="1" applyFill="1" applyBorder="1" applyAlignment="1">
      <alignment vertical="center" wrapText="1" readingOrder="1"/>
    </xf>
    <xf numFmtId="9" fontId="20" fillId="11" borderId="7" xfId="12" applyFont="1" applyFill="1" applyBorder="1" applyAlignment="1">
      <alignment horizontal="center" vertical="center" wrapText="1" readingOrder="1"/>
    </xf>
    <xf numFmtId="0" fontId="26" fillId="0" borderId="7" xfId="0" applyFont="1" applyBorder="1"/>
    <xf numFmtId="9" fontId="5" fillId="0" borderId="7" xfId="0" applyNumberFormat="1" applyFont="1" applyFill="1" applyBorder="1" applyAlignment="1">
      <alignment horizontal="center" vertical="center" wrapText="1"/>
    </xf>
    <xf numFmtId="9" fontId="15"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9" fontId="15" fillId="0" borderId="7" xfId="15"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0" fontId="0" fillId="0" borderId="7" xfId="0" applyFont="1" applyFill="1" applyBorder="1"/>
    <xf numFmtId="9" fontId="5" fillId="0" borderId="8" xfId="7" applyFont="1" applyFill="1" applyBorder="1" applyAlignment="1">
      <alignment horizontal="center" vertical="center"/>
    </xf>
    <xf numFmtId="0" fontId="5" fillId="0" borderId="7" xfId="3" applyFont="1" applyFill="1" applyBorder="1" applyAlignment="1">
      <alignment horizontal="center" vertical="center" wrapText="1"/>
    </xf>
    <xf numFmtId="9" fontId="40" fillId="0" borderId="7" xfId="0" applyNumberFormat="1" applyFont="1" applyFill="1" applyBorder="1" applyAlignment="1">
      <alignment horizontal="center" vertical="center" wrapText="1"/>
    </xf>
    <xf numFmtId="0" fontId="2" fillId="0" borderId="7" xfId="0" applyFont="1" applyFill="1" applyBorder="1" applyAlignment="1">
      <alignment horizontal="justify" vertical="top" wrapText="1"/>
    </xf>
    <xf numFmtId="0" fontId="2" fillId="0" borderId="7" xfId="0" applyFont="1" applyBorder="1" applyAlignment="1">
      <alignment horizontal="justify" vertical="center" wrapText="1"/>
    </xf>
    <xf numFmtId="0" fontId="2" fillId="0" borderId="7" xfId="0" applyFont="1" applyBorder="1" applyAlignment="1">
      <alignment horizontal="justify" vertical="center"/>
    </xf>
    <xf numFmtId="0" fontId="2" fillId="0" borderId="7" xfId="0" applyFont="1" applyFill="1" applyBorder="1" applyAlignment="1">
      <alignment vertical="center" wrapText="1"/>
    </xf>
    <xf numFmtId="0" fontId="2" fillId="0" borderId="16" xfId="0" applyFont="1" applyBorder="1" applyAlignment="1">
      <alignment vertical="top" wrapText="1"/>
    </xf>
    <xf numFmtId="0" fontId="2" fillId="0" borderId="16" xfId="0" applyFont="1" applyFill="1" applyBorder="1" applyAlignment="1">
      <alignment vertical="top" wrapText="1"/>
    </xf>
    <xf numFmtId="0" fontId="32" fillId="0" borderId="7" xfId="0" applyFont="1" applyFill="1" applyBorder="1" applyAlignment="1">
      <alignment vertical="top" wrapText="1"/>
    </xf>
    <xf numFmtId="0" fontId="41" fillId="0" borderId="0" xfId="0" applyFont="1" applyAlignment="1">
      <alignment vertical="top" wrapText="1"/>
    </xf>
    <xf numFmtId="0" fontId="31" fillId="0" borderId="7" xfId="0" applyFont="1" applyFill="1" applyBorder="1" applyAlignment="1">
      <alignment vertical="top" wrapText="1"/>
    </xf>
    <xf numFmtId="0" fontId="32" fillId="0" borderId="16" xfId="0" applyFont="1" applyFill="1" applyBorder="1" applyAlignment="1">
      <alignment vertical="top" wrapText="1"/>
    </xf>
    <xf numFmtId="9" fontId="0" fillId="0" borderId="0" xfId="12" applyFont="1" applyAlignment="1">
      <alignment horizontal="center" vertical="center"/>
    </xf>
    <xf numFmtId="9" fontId="5" fillId="0" borderId="7" xfId="12" applyFont="1" applyBorder="1" applyAlignment="1">
      <alignment horizontal="center" vertical="center" wrapText="1"/>
    </xf>
    <xf numFmtId="9" fontId="5" fillId="4" borderId="1" xfId="12"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9" fontId="9" fillId="4" borderId="7" xfId="0" applyNumberFormat="1" applyFont="1" applyFill="1" applyBorder="1" applyAlignment="1">
      <alignment horizontal="center" vertical="center"/>
    </xf>
    <xf numFmtId="9" fontId="32" fillId="0" borderId="16" xfId="0" applyNumberFormat="1" applyFont="1" applyFill="1" applyBorder="1" applyAlignment="1">
      <alignment horizontal="center" vertical="center"/>
    </xf>
    <xf numFmtId="9" fontId="5" fillId="4" borderId="7" xfId="12" applyNumberFormat="1" applyFont="1" applyFill="1" applyBorder="1" applyAlignment="1">
      <alignment horizontal="center" vertical="center"/>
    </xf>
    <xf numFmtId="9" fontId="5" fillId="0" borderId="8"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9" fontId="9" fillId="4" borderId="7" xfId="12" applyFont="1" applyFill="1" applyBorder="1" applyAlignment="1">
      <alignment horizontal="center" vertical="center" wrapText="1"/>
    </xf>
    <xf numFmtId="10" fontId="26" fillId="15" borderId="0" xfId="0" applyNumberFormat="1" applyFont="1" applyFill="1" applyAlignment="1">
      <alignment horizontal="center" vertical="center"/>
    </xf>
    <xf numFmtId="10" fontId="28" fillId="15" borderId="0" xfId="0" applyNumberFormat="1" applyFont="1" applyFill="1" applyBorder="1" applyAlignment="1">
      <alignment horizontal="center" vertical="center"/>
    </xf>
    <xf numFmtId="10" fontId="28" fillId="15" borderId="0" xfId="0" applyNumberFormat="1" applyFont="1" applyFill="1" applyAlignment="1">
      <alignment horizontal="center" vertical="center"/>
    </xf>
    <xf numFmtId="9"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2" fillId="0" borderId="16" xfId="0" applyNumberFormat="1" applyFont="1" applyBorder="1" applyAlignment="1">
      <alignment horizontal="center" vertical="center" wrapText="1"/>
    </xf>
    <xf numFmtId="49" fontId="41" fillId="0" borderId="0" xfId="0" applyNumberFormat="1" applyFont="1" applyAlignment="1">
      <alignment horizontal="center" vertical="center"/>
    </xf>
    <xf numFmtId="9" fontId="2" fillId="0" borderId="16" xfId="0" applyNumberFormat="1" applyFont="1" applyBorder="1" applyAlignment="1">
      <alignment horizontal="center" vertical="center"/>
    </xf>
    <xf numFmtId="9" fontId="2" fillId="0" borderId="16" xfId="0" applyNumberFormat="1" applyFont="1" applyFill="1" applyBorder="1" applyAlignment="1">
      <alignment horizontal="center" vertical="center"/>
    </xf>
    <xf numFmtId="9" fontId="2" fillId="0" borderId="19" xfId="0" applyNumberFormat="1" applyFont="1" applyFill="1" applyBorder="1" applyAlignment="1">
      <alignment horizontal="center" vertical="center"/>
    </xf>
    <xf numFmtId="9" fontId="15" fillId="0" borderId="16" xfId="0" applyNumberFormat="1" applyFont="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0" fontId="5" fillId="0" borderId="7" xfId="0" applyNumberFormat="1" applyFont="1" applyFill="1" applyBorder="1" applyAlignment="1">
      <alignment horizontal="center" vertical="center" wrapText="1"/>
    </xf>
    <xf numFmtId="10" fontId="5" fillId="4" borderId="7" xfId="0" applyNumberFormat="1" applyFont="1" applyFill="1" applyBorder="1" applyAlignment="1">
      <alignment horizontal="center" vertical="center" wrapText="1"/>
    </xf>
    <xf numFmtId="10" fontId="5" fillId="4" borderId="7" xfId="12" applyNumberFormat="1" applyFont="1" applyFill="1" applyBorder="1" applyAlignment="1">
      <alignment horizontal="center" vertical="center" wrapText="1"/>
    </xf>
    <xf numFmtId="10" fontId="6" fillId="11" borderId="7" xfId="0" applyNumberFormat="1" applyFont="1" applyFill="1" applyBorder="1" applyAlignment="1">
      <alignment horizontal="center" vertical="center"/>
    </xf>
    <xf numFmtId="10" fontId="9" fillId="0" borderId="7" xfId="12" applyNumberFormat="1" applyFont="1" applyFill="1" applyBorder="1" applyAlignment="1">
      <alignment horizontal="center" vertical="center" wrapText="1"/>
    </xf>
    <xf numFmtId="10" fontId="5" fillId="0" borderId="7" xfId="0" applyNumberFormat="1" applyFont="1" applyFill="1" applyBorder="1" applyAlignment="1">
      <alignment horizontal="center" vertical="center"/>
    </xf>
    <xf numFmtId="10" fontId="5" fillId="4" borderId="7" xfId="12" applyNumberFormat="1" applyFont="1" applyFill="1" applyBorder="1" applyAlignment="1">
      <alignment horizontal="center" vertical="center"/>
    </xf>
    <xf numFmtId="10" fontId="5" fillId="0" borderId="7" xfId="12" applyNumberFormat="1" applyFont="1" applyFill="1" applyBorder="1" applyAlignment="1">
      <alignment horizontal="center" vertical="center"/>
    </xf>
    <xf numFmtId="0" fontId="26" fillId="0" borderId="1" xfId="0" applyFont="1" applyBorder="1"/>
    <xf numFmtId="10" fontId="0" fillId="0" borderId="1" xfId="7" applyNumberFormat="1" applyFont="1" applyBorder="1" applyAlignment="1">
      <alignment horizontal="center" vertical="center"/>
    </xf>
    <xf numFmtId="9" fontId="39" fillId="12" borderId="8" xfId="12" applyFont="1" applyFill="1" applyBorder="1" applyAlignment="1">
      <alignment horizontal="center" vertical="center" wrapText="1" readingOrder="1"/>
    </xf>
    <xf numFmtId="9" fontId="39" fillId="0" borderId="9" xfId="12" applyFont="1" applyFill="1" applyBorder="1" applyAlignment="1">
      <alignment vertical="center" wrapText="1" readingOrder="1"/>
    </xf>
    <xf numFmtId="10" fontId="38" fillId="12" borderId="7" xfId="12" applyNumberFormat="1" applyFont="1" applyFill="1" applyBorder="1" applyAlignment="1">
      <alignment horizontal="center" vertical="center" wrapText="1" readingOrder="1"/>
    </xf>
    <xf numFmtId="10" fontId="39" fillId="12" borderId="1" xfId="0" applyNumberFormat="1" applyFont="1" applyFill="1" applyBorder="1" applyAlignment="1">
      <alignment horizontal="center" vertical="center"/>
    </xf>
    <xf numFmtId="9" fontId="5" fillId="3" borderId="7" xfId="0" applyNumberFormat="1" applyFont="1" applyFill="1" applyBorder="1" applyAlignment="1">
      <alignment horizontal="center" vertical="center" wrapText="1"/>
    </xf>
    <xf numFmtId="9" fontId="9" fillId="3" borderId="7" xfId="12" applyFont="1" applyFill="1" applyBorder="1" applyAlignment="1">
      <alignment horizontal="center" vertical="center" wrapText="1"/>
    </xf>
    <xf numFmtId="9" fontId="5" fillId="4" borderId="8" xfId="7" applyFont="1" applyFill="1" applyBorder="1" applyAlignment="1">
      <alignment horizontal="center" vertical="center"/>
    </xf>
    <xf numFmtId="9" fontId="39" fillId="12" borderId="8" xfId="12" applyFont="1" applyFill="1" applyBorder="1" applyAlignment="1">
      <alignment horizontal="center" vertical="center" wrapText="1" readingOrder="1"/>
    </xf>
    <xf numFmtId="9" fontId="39" fillId="12" borderId="9" xfId="12" applyFont="1" applyFill="1" applyBorder="1" applyAlignment="1">
      <alignment horizontal="center" vertical="center" wrapText="1" readingOrder="1"/>
    </xf>
    <xf numFmtId="0" fontId="39" fillId="12" borderId="18" xfId="0" applyFont="1" applyFill="1" applyBorder="1" applyAlignment="1">
      <alignment horizontal="center" vertical="center" wrapText="1"/>
    </xf>
    <xf numFmtId="0" fontId="39" fillId="12" borderId="0" xfId="0" applyFont="1" applyFill="1" applyBorder="1" applyAlignment="1">
      <alignment horizontal="center" vertical="center" wrapText="1"/>
    </xf>
    <xf numFmtId="0" fontId="39" fillId="12" borderId="11" xfId="0" applyFont="1" applyFill="1" applyBorder="1" applyAlignment="1">
      <alignment horizontal="center" vertical="center" wrapText="1"/>
    </xf>
    <xf numFmtId="0" fontId="39" fillId="12" borderId="12" xfId="0" applyFont="1" applyFill="1" applyBorder="1" applyAlignment="1">
      <alignment horizontal="center" vertical="center" wrapText="1"/>
    </xf>
    <xf numFmtId="0" fontId="26" fillId="0" borderId="18" xfId="0" applyFont="1" applyBorder="1" applyAlignment="1">
      <alignment horizontal="center" vertical="center" textRotation="90"/>
    </xf>
    <xf numFmtId="0" fontId="7" fillId="10" borderId="7" xfId="0" applyFont="1" applyFill="1" applyBorder="1" applyAlignment="1">
      <alignment horizontal="center" vertical="center"/>
    </xf>
    <xf numFmtId="0" fontId="28" fillId="11" borderId="7" xfId="0" applyFont="1" applyFill="1" applyBorder="1" applyAlignment="1">
      <alignment horizontal="center" vertical="center" wrapText="1"/>
    </xf>
    <xf numFmtId="0" fontId="5" fillId="4" borderId="7" xfId="0" applyFont="1" applyFill="1" applyBorder="1" applyAlignment="1" applyProtection="1">
      <alignment horizontal="center" vertical="center" wrapText="1"/>
      <protection locked="0"/>
    </xf>
    <xf numFmtId="0" fontId="5" fillId="4" borderId="7" xfId="0" applyFont="1" applyFill="1" applyBorder="1" applyAlignment="1">
      <alignment horizontal="center" vertical="center" wrapText="1"/>
    </xf>
    <xf numFmtId="0" fontId="9" fillId="0" borderId="7" xfId="0" applyFont="1" applyBorder="1" applyAlignment="1">
      <alignment horizontal="left" vertical="top" wrapText="1"/>
    </xf>
    <xf numFmtId="9" fontId="5" fillId="0" borderId="7" xfId="0" applyNumberFormat="1" applyFont="1" applyFill="1" applyBorder="1" applyAlignment="1">
      <alignment horizontal="center" vertical="center"/>
    </xf>
    <xf numFmtId="0" fontId="9" fillId="0" borderId="7" xfId="0" applyFont="1" applyBorder="1" applyAlignment="1">
      <alignment horizontal="left" vertical="center" wrapText="1"/>
    </xf>
    <xf numFmtId="0" fontId="0" fillId="0" borderId="7" xfId="0" applyBorder="1" applyAlignment="1">
      <alignment horizontal="center" vertical="center" wrapText="1"/>
    </xf>
    <xf numFmtId="0" fontId="2" fillId="0" borderId="7" xfId="0" applyFont="1" applyBorder="1" applyAlignment="1">
      <alignment horizontal="center" vertical="center" wrapText="1"/>
    </xf>
    <xf numFmtId="9" fontId="5" fillId="0" borderId="7" xfId="0" applyNumberFormat="1" applyFont="1" applyFill="1" applyBorder="1" applyAlignment="1">
      <alignment horizontal="center" vertical="center" wrapText="1"/>
    </xf>
    <xf numFmtId="0" fontId="20" fillId="8"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20" fillId="8" borderId="7" xfId="0" applyFont="1" applyFill="1" applyBorder="1" applyAlignment="1">
      <alignment horizontal="center" vertical="center"/>
    </xf>
    <xf numFmtId="0" fontId="32"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8" fillId="11" borderId="7" xfId="0" applyFont="1" applyFill="1" applyBorder="1" applyAlignment="1">
      <alignment horizontal="center" vertical="center"/>
    </xf>
    <xf numFmtId="0" fontId="6" fillId="8" borderId="7" xfId="0" applyFont="1" applyFill="1" applyBorder="1" applyAlignment="1">
      <alignment horizontal="center" vertical="center" wrapText="1"/>
    </xf>
    <xf numFmtId="0" fontId="6" fillId="11" borderId="7" xfId="0" applyFont="1" applyFill="1" applyBorder="1" applyAlignment="1">
      <alignment horizontal="center" vertical="center"/>
    </xf>
    <xf numFmtId="10" fontId="2" fillId="0" borderId="7" xfId="0" applyNumberFormat="1" applyFont="1" applyBorder="1" applyAlignment="1">
      <alignment horizontal="center" vertical="center" wrapText="1"/>
    </xf>
    <xf numFmtId="10" fontId="2" fillId="0" borderId="7" xfId="0" applyNumberFormat="1" applyFont="1" applyBorder="1" applyAlignment="1">
      <alignment horizontal="left" vertical="center" wrapText="1"/>
    </xf>
    <xf numFmtId="41" fontId="0" fillId="0" borderId="7" xfId="11" applyFont="1" applyBorder="1" applyAlignment="1">
      <alignment horizontal="center" vertical="center"/>
    </xf>
    <xf numFmtId="0" fontId="7" fillId="10" borderId="11" xfId="0" applyFont="1" applyFill="1" applyBorder="1" applyAlignment="1">
      <alignment horizontal="center" vertical="center"/>
    </xf>
    <xf numFmtId="0" fontId="7" fillId="10" borderId="12" xfId="0" applyFont="1" applyFill="1" applyBorder="1" applyAlignment="1">
      <alignment horizontal="center" vertical="center"/>
    </xf>
    <xf numFmtId="0" fontId="8" fillId="8" borderId="7" xfId="0" applyFont="1" applyFill="1" applyBorder="1" applyAlignment="1">
      <alignment horizontal="center" vertical="center" wrapText="1"/>
    </xf>
    <xf numFmtId="41" fontId="8" fillId="8" borderId="7" xfId="11" applyFont="1" applyFill="1" applyBorder="1" applyAlignment="1">
      <alignment horizontal="center" vertical="center" wrapText="1"/>
    </xf>
    <xf numFmtId="0" fontId="8" fillId="8" borderId="7" xfId="0" applyFont="1" applyFill="1" applyBorder="1" applyAlignment="1">
      <alignment horizontal="center" vertical="center"/>
    </xf>
    <xf numFmtId="10" fontId="2" fillId="4"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0" fontId="2" fillId="4" borderId="7" xfId="0" applyNumberFormat="1" applyFont="1" applyFill="1" applyBorder="1" applyAlignment="1">
      <alignment horizontal="left" vertical="center" wrapText="1"/>
    </xf>
    <xf numFmtId="0" fontId="2" fillId="4" borderId="7" xfId="0" applyFont="1" applyFill="1" applyBorder="1" applyAlignment="1">
      <alignment horizontal="left" vertical="center" wrapText="1"/>
    </xf>
    <xf numFmtId="10"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9" fontId="15" fillId="0" borderId="7" xfId="12" applyFont="1" applyFill="1" applyBorder="1" applyAlignment="1">
      <alignment horizontal="center" vertical="center" wrapText="1"/>
    </xf>
    <xf numFmtId="9" fontId="15" fillId="0" borderId="7" xfId="0" applyNumberFormat="1"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9" fontId="2" fillId="0" borderId="7" xfId="12" applyFont="1" applyBorder="1" applyAlignment="1">
      <alignment horizontal="left" vertical="center" wrapText="1"/>
    </xf>
    <xf numFmtId="9" fontId="0" fillId="0" borderId="7" xfId="12" applyFont="1" applyBorder="1" applyAlignment="1">
      <alignment horizontal="left" vertical="center" wrapText="1"/>
    </xf>
    <xf numFmtId="0" fontId="0" fillId="0" borderId="7" xfId="0" applyFont="1" applyBorder="1" applyAlignment="1">
      <alignment horizontal="left" vertical="center" wrapText="1"/>
    </xf>
    <xf numFmtId="0" fontId="0" fillId="0" borderId="7" xfId="0" applyFont="1" applyBorder="1" applyAlignment="1">
      <alignment horizontal="center" vertical="center" wrapText="1"/>
    </xf>
    <xf numFmtId="0" fontId="0" fillId="0" borderId="7" xfId="0" applyFont="1" applyBorder="1" applyAlignment="1">
      <alignment horizontal="left" wrapText="1"/>
    </xf>
    <xf numFmtId="9" fontId="0" fillId="0" borderId="7" xfId="7" applyFont="1" applyBorder="1" applyAlignment="1">
      <alignment horizontal="center" vertical="center" wrapText="1"/>
    </xf>
    <xf numFmtId="0" fontId="0" fillId="0" borderId="7" xfId="0" applyFont="1" applyFill="1" applyBorder="1" applyAlignment="1">
      <alignment horizontal="center" vertical="center" wrapText="1"/>
    </xf>
    <xf numFmtId="9" fontId="15" fillId="0" borderId="7" xfId="7" applyFont="1" applyBorder="1" applyAlignment="1">
      <alignment horizontal="center" vertical="center" wrapText="1"/>
    </xf>
    <xf numFmtId="9" fontId="15" fillId="0" borderId="7" xfId="7" applyFont="1" applyFill="1" applyBorder="1" applyAlignment="1">
      <alignment horizontal="center" vertical="center" wrapText="1"/>
    </xf>
    <xf numFmtId="9" fontId="15" fillId="0" borderId="7" xfId="15" applyNumberFormat="1" applyFont="1" applyFill="1" applyBorder="1" applyAlignment="1">
      <alignment horizontal="center" vertical="center" wrapText="1"/>
    </xf>
    <xf numFmtId="41" fontId="15" fillId="0" borderId="7" xfId="15" applyFont="1" applyFill="1" applyBorder="1" applyAlignment="1">
      <alignment horizontal="center" vertical="center" wrapText="1"/>
    </xf>
    <xf numFmtId="9" fontId="15" fillId="0" borderId="7" xfId="15" applyNumberFormat="1" applyFont="1" applyBorder="1" applyAlignment="1">
      <alignment horizontal="center" vertical="center" wrapText="1"/>
    </xf>
    <xf numFmtId="41" fontId="15" fillId="0" borderId="7" xfId="15" applyFont="1" applyBorder="1" applyAlignment="1">
      <alignment horizontal="center" vertical="center" wrapText="1"/>
    </xf>
    <xf numFmtId="0" fontId="2" fillId="0" borderId="7" xfId="0" applyFont="1" applyBorder="1" applyAlignment="1">
      <alignment horizontal="left" vertical="center" wrapText="1"/>
    </xf>
    <xf numFmtId="0" fontId="0" fillId="0" borderId="7" xfId="0" applyBorder="1" applyAlignment="1">
      <alignment horizontal="center" vertical="center"/>
    </xf>
    <xf numFmtId="0" fontId="2" fillId="4" borderId="7" xfId="0" applyFont="1" applyFill="1" applyBorder="1" applyAlignment="1">
      <alignment horizontal="center" vertical="center"/>
    </xf>
    <xf numFmtId="14" fontId="5" fillId="0" borderId="7" xfId="0" applyNumberFormat="1" applyFont="1" applyFill="1" applyBorder="1" applyAlignment="1">
      <alignment horizontal="center" vertical="center" wrapText="1"/>
    </xf>
    <xf numFmtId="10" fontId="15" fillId="0" borderId="7" xfId="11" applyNumberFormat="1" applyFont="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0" fontId="0" fillId="4" borderId="7" xfId="0" applyFont="1" applyFill="1" applyBorder="1" applyAlignment="1">
      <alignment horizontal="center" vertical="center"/>
    </xf>
    <xf numFmtId="0" fontId="15" fillId="0" borderId="7" xfId="0" applyFont="1" applyBorder="1" applyAlignment="1">
      <alignment horizontal="center" vertical="center" wrapText="1"/>
    </xf>
    <xf numFmtId="10" fontId="15" fillId="0" borderId="7" xfId="0" applyNumberFormat="1" applyFont="1" applyBorder="1" applyAlignment="1">
      <alignment horizontal="center" vertical="center" wrapText="1"/>
    </xf>
    <xf numFmtId="9" fontId="15" fillId="0" borderId="7" xfId="0" applyNumberFormat="1" applyFont="1" applyBorder="1" applyAlignment="1">
      <alignment horizontal="center" vertical="center" wrapText="1"/>
    </xf>
    <xf numFmtId="41" fontId="15" fillId="0" borderId="7" xfId="11" applyFont="1" applyBorder="1" applyAlignment="1">
      <alignment horizontal="center" vertical="center" wrapText="1"/>
    </xf>
    <xf numFmtId="10" fontId="15" fillId="0" borderId="7"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2"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9" xfId="0"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0" fontId="5" fillId="13" borderId="7" xfId="0" applyFont="1" applyFill="1" applyBorder="1" applyAlignment="1" applyProtection="1">
      <alignment horizontal="center" vertical="center" wrapText="1"/>
      <protection locked="0"/>
    </xf>
    <xf numFmtId="0" fontId="5" fillId="14" borderId="7" xfId="0" applyFont="1" applyFill="1" applyBorder="1" applyAlignment="1" applyProtection="1">
      <alignment horizontal="center" vertical="center" wrapText="1"/>
      <protection locked="0"/>
    </xf>
    <xf numFmtId="9" fontId="20" fillId="8" borderId="7" xfId="7" applyFont="1" applyFill="1" applyBorder="1" applyAlignment="1">
      <alignment horizontal="center" vertical="center" wrapText="1"/>
    </xf>
    <xf numFmtId="0" fontId="20" fillId="11"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9" fillId="0" borderId="7" xfId="0" applyFont="1" applyBorder="1" applyAlignment="1">
      <alignment horizontal="justify" vertical="center" wrapText="1"/>
    </xf>
    <xf numFmtId="0" fontId="5" fillId="4" borderId="7" xfId="0" applyFont="1" applyFill="1" applyBorder="1" applyAlignment="1" applyProtection="1">
      <alignment horizontal="center" vertical="center"/>
      <protection locked="0"/>
    </xf>
    <xf numFmtId="0" fontId="9" fillId="0" borderId="7" xfId="0" applyFont="1" applyFill="1" applyBorder="1" applyAlignment="1">
      <alignment horizontal="justify" vertical="center" wrapText="1"/>
    </xf>
    <xf numFmtId="0" fontId="29" fillId="11" borderId="7"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7">
    <cellStyle name="Millares [0]" xfId="11" builtinId="6"/>
    <cellStyle name="Millares [0] 2" xfId="15" xr:uid="{00000000-0005-0000-0000-00003A000000}"/>
    <cellStyle name="Millares [0] 3" xfId="14" xr:uid="{00000000-0005-0000-0000-00003B000000}"/>
    <cellStyle name="Millares 2" xfId="1" xr:uid="{00000000-0005-0000-0000-000000000000}"/>
    <cellStyle name="Millares 2 2" xfId="8" xr:uid="{00000000-0005-0000-0000-000001000000}"/>
    <cellStyle name="Moneda 2" xfId="2" xr:uid="{00000000-0005-0000-0000-000002000000}"/>
    <cellStyle name="Moneda 2 2" xfId="9" xr:uid="{00000000-0005-0000-0000-000003000000}"/>
    <cellStyle name="Normal" xfId="0" builtinId="0"/>
    <cellStyle name="Normal 2" xfId="3" xr:uid="{00000000-0005-0000-0000-000005000000}"/>
    <cellStyle name="Normal 3" xfId="6" xr:uid="{00000000-0005-0000-0000-000006000000}"/>
    <cellStyle name="Normal 4" xfId="13" xr:uid="{057F7BDB-D19A-4D8D-AE85-777E54A18D47}"/>
    <cellStyle name="Porcentaje" xfId="7" builtinId="5"/>
    <cellStyle name="Porcentaje 2" xfId="12" xr:uid="{D9E16DC3-3556-4401-AA20-6ACE4C800679}"/>
    <cellStyle name="Porcentaje 3" xfId="16" xr:uid="{33E6580C-BBFA-4A46-8CEC-935A3644ACE3}"/>
    <cellStyle name="Porcentual 2" xfId="4" xr:uid="{00000000-0005-0000-0000-000008000000}"/>
    <cellStyle name="Porcentual 2 2" xfId="10" xr:uid="{00000000-0005-0000-0000-000009000000}"/>
    <cellStyle name="Porcentual 3" xfId="5" xr:uid="{00000000-0005-0000-0000-00000A000000}"/>
  </cellStyles>
  <dxfs count="0"/>
  <tableStyles count="0" defaultTableStyle="TableStyleMedium9" defaultPivotStyle="PivotStyleLight16"/>
  <colors>
    <mruColors>
      <color rgb="FFCC99FF"/>
      <color rgb="FFFF66CC"/>
      <color rgb="FF008080"/>
      <color rgb="FFFFD5FF"/>
      <color rgb="FF660066"/>
      <color rgb="FF9933FF"/>
      <color rgb="FF0099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a:solidFill>
                  <a:sysClr val="windowText" lastClr="000000"/>
                </a:solidFill>
              </a:rPr>
              <a:t>PLAN DE ACCIÓN SECTORIAL - SEGUIMIENTO IV TRIMESTRE 2018</a:t>
            </a:r>
          </a:p>
          <a:p>
            <a:pPr>
              <a:defRPr>
                <a:solidFill>
                  <a:sysClr val="windowText" lastClr="000000"/>
                </a:solidFill>
              </a:defRPr>
            </a:pPr>
            <a:r>
              <a:rPr lang="es-CO">
                <a:solidFill>
                  <a:sysClr val="windowText" lastClr="000000"/>
                </a:solidFill>
              </a:rPr>
              <a:t>Porcentaje  de cumplimiento de las Entidades</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barChart>
        <c:barDir val="bar"/>
        <c:grouping val="clustered"/>
        <c:varyColors val="0"/>
        <c:ser>
          <c:idx val="0"/>
          <c:order val="0"/>
          <c:tx>
            <c:strRef>
              <c:f>'PORCENTAJE CUMPLIMIENTO EAV'!$B$8</c:f>
              <c:strCache>
                <c:ptCount val="1"/>
                <c:pt idx="0">
                  <c:v>Talento Humano</c:v>
                </c:pt>
              </c:strCache>
            </c:strRef>
          </c:tx>
          <c:spPr>
            <a:gradFill rotWithShape="1">
              <a:gsLst>
                <a:gs pos="0">
                  <a:schemeClr val="accent4">
                    <a:tint val="46000"/>
                    <a:shade val="51000"/>
                    <a:satMod val="130000"/>
                  </a:schemeClr>
                </a:gs>
                <a:gs pos="80000">
                  <a:schemeClr val="accent4">
                    <a:tint val="46000"/>
                    <a:shade val="93000"/>
                    <a:satMod val="130000"/>
                  </a:schemeClr>
                </a:gs>
                <a:gs pos="100000">
                  <a:schemeClr val="accent4">
                    <a:tint val="4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'PORCENTAJE CUMPLIMIENTO EAV'!$C$7:$M$7</c:f>
              <c:strCache>
                <c:ptCount val="11"/>
                <c:pt idx="0">
                  <c:v>MEN</c:v>
                </c:pt>
                <c:pt idx="1">
                  <c:v>ICFES</c:v>
                </c:pt>
                <c:pt idx="2">
                  <c:v>ICETEX</c:v>
                </c:pt>
                <c:pt idx="3">
                  <c:v>INCI</c:v>
                </c:pt>
                <c:pt idx="4">
                  <c:v>INSOR</c:v>
                </c:pt>
                <c:pt idx="5">
                  <c:v>FODESEP</c:v>
                </c:pt>
                <c:pt idx="6">
                  <c:v>INTENALCO</c:v>
                </c:pt>
                <c:pt idx="7">
                  <c:v>ETITC</c:v>
                </c:pt>
                <c:pt idx="8">
                  <c:v>INFOTEP SAN ANDRES</c:v>
                </c:pt>
                <c:pt idx="9">
                  <c:v>INFOTEP SAN JUAN DEL CESAR</c:v>
                </c:pt>
                <c:pt idx="10">
                  <c:v>ITFIT</c:v>
                </c:pt>
              </c:strCache>
            </c:strRef>
          </c:cat>
          <c:val>
            <c:numRef>
              <c:f>'PORCENTAJE CUMPLIMIENTO EAV'!$C$8:$M$8</c:f>
            </c:numRef>
          </c:val>
          <c:extLst>
            <c:ext xmlns:c16="http://schemas.microsoft.com/office/drawing/2014/chart" uri="{C3380CC4-5D6E-409C-BE32-E72D297353CC}">
              <c16:uniqueId val="{00000000-AF58-4E8D-A0DE-59F02CA615AC}"/>
            </c:ext>
          </c:extLst>
        </c:ser>
        <c:ser>
          <c:idx val="1"/>
          <c:order val="1"/>
          <c:tx>
            <c:strRef>
              <c:f>'PORCENTAJE CUMPLIMIENTO EAV'!$B$9</c:f>
              <c:strCache>
                <c:ptCount val="1"/>
                <c:pt idx="0">
                  <c:v>Direccionamiento Estratégico</c:v>
                </c:pt>
              </c:strCache>
            </c:strRef>
          </c:tx>
          <c:spPr>
            <a:gradFill rotWithShape="1">
              <a:gsLst>
                <a:gs pos="0">
                  <a:schemeClr val="accent4">
                    <a:tint val="62000"/>
                    <a:shade val="51000"/>
                    <a:satMod val="130000"/>
                  </a:schemeClr>
                </a:gs>
                <a:gs pos="80000">
                  <a:schemeClr val="accent4">
                    <a:tint val="62000"/>
                    <a:shade val="93000"/>
                    <a:satMod val="130000"/>
                  </a:schemeClr>
                </a:gs>
                <a:gs pos="100000">
                  <a:schemeClr val="accent4">
                    <a:tint val="62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'PORCENTAJE CUMPLIMIENTO EAV'!$C$7:$M$7</c:f>
              <c:strCache>
                <c:ptCount val="11"/>
                <c:pt idx="0">
                  <c:v>MEN</c:v>
                </c:pt>
                <c:pt idx="1">
                  <c:v>ICFES</c:v>
                </c:pt>
                <c:pt idx="2">
                  <c:v>ICETEX</c:v>
                </c:pt>
                <c:pt idx="3">
                  <c:v>INCI</c:v>
                </c:pt>
                <c:pt idx="4">
                  <c:v>INSOR</c:v>
                </c:pt>
                <c:pt idx="5">
                  <c:v>FODESEP</c:v>
                </c:pt>
                <c:pt idx="6">
                  <c:v>INTENALCO</c:v>
                </c:pt>
                <c:pt idx="7">
                  <c:v>ETITC</c:v>
                </c:pt>
                <c:pt idx="8">
                  <c:v>INFOTEP SAN ANDRES</c:v>
                </c:pt>
                <c:pt idx="9">
                  <c:v>INFOTEP SAN JUAN DEL CESAR</c:v>
                </c:pt>
                <c:pt idx="10">
                  <c:v>ITFIT</c:v>
                </c:pt>
              </c:strCache>
            </c:strRef>
          </c:cat>
          <c:val>
            <c:numRef>
              <c:f>'PORCENTAJE CUMPLIMIENTO EAV'!$C$9:$M$9</c:f>
            </c:numRef>
          </c:val>
          <c:extLst>
            <c:ext xmlns:c16="http://schemas.microsoft.com/office/drawing/2014/chart" uri="{C3380CC4-5D6E-409C-BE32-E72D297353CC}">
              <c16:uniqueId val="{00000001-AF58-4E8D-A0DE-59F02CA615AC}"/>
            </c:ext>
          </c:extLst>
        </c:ser>
        <c:ser>
          <c:idx val="2"/>
          <c:order val="2"/>
          <c:tx>
            <c:strRef>
              <c:f>'PORCENTAJE CUMPLIMIENTO EAV'!$B$10</c:f>
              <c:strCache>
                <c:ptCount val="1"/>
                <c:pt idx="0">
                  <c:v>Valores para resultados</c:v>
                </c:pt>
              </c:strCache>
            </c:strRef>
          </c:tx>
          <c:spPr>
            <a:gradFill rotWithShape="1">
              <a:gsLst>
                <a:gs pos="0">
                  <a:schemeClr val="accent4">
                    <a:tint val="77000"/>
                    <a:shade val="51000"/>
                    <a:satMod val="130000"/>
                  </a:schemeClr>
                </a:gs>
                <a:gs pos="80000">
                  <a:schemeClr val="accent4">
                    <a:tint val="77000"/>
                    <a:shade val="93000"/>
                    <a:satMod val="130000"/>
                  </a:schemeClr>
                </a:gs>
                <a:gs pos="100000">
                  <a:schemeClr val="accent4">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'PORCENTAJE CUMPLIMIENTO EAV'!$C$7:$M$7</c:f>
              <c:strCache>
                <c:ptCount val="11"/>
                <c:pt idx="0">
                  <c:v>MEN</c:v>
                </c:pt>
                <c:pt idx="1">
                  <c:v>ICFES</c:v>
                </c:pt>
                <c:pt idx="2">
                  <c:v>ICETEX</c:v>
                </c:pt>
                <c:pt idx="3">
                  <c:v>INCI</c:v>
                </c:pt>
                <c:pt idx="4">
                  <c:v>INSOR</c:v>
                </c:pt>
                <c:pt idx="5">
                  <c:v>FODESEP</c:v>
                </c:pt>
                <c:pt idx="6">
                  <c:v>INTENALCO</c:v>
                </c:pt>
                <c:pt idx="7">
                  <c:v>ETITC</c:v>
                </c:pt>
                <c:pt idx="8">
                  <c:v>INFOTEP SAN ANDRES</c:v>
                </c:pt>
                <c:pt idx="9">
                  <c:v>INFOTEP SAN JUAN DEL CESAR</c:v>
                </c:pt>
                <c:pt idx="10">
                  <c:v>ITFIT</c:v>
                </c:pt>
              </c:strCache>
            </c:strRef>
          </c:cat>
          <c:val>
            <c:numRef>
              <c:f>'PORCENTAJE CUMPLIMIENTO EAV'!$C$10:$M$10</c:f>
            </c:numRef>
          </c:val>
          <c:extLst>
            <c:ext xmlns:c16="http://schemas.microsoft.com/office/drawing/2014/chart" uri="{C3380CC4-5D6E-409C-BE32-E72D297353CC}">
              <c16:uniqueId val="{00000002-AF58-4E8D-A0DE-59F02CA615AC}"/>
            </c:ext>
          </c:extLst>
        </c:ser>
        <c:ser>
          <c:idx val="3"/>
          <c:order val="3"/>
          <c:tx>
            <c:strRef>
              <c:f>'PORCENTAJE CUMPLIMIENTO EAV'!$B$11</c:f>
              <c:strCache>
                <c:ptCount val="1"/>
                <c:pt idx="0">
                  <c:v>Evaluación de resultados</c:v>
                </c:pt>
              </c:strCache>
            </c:strRef>
          </c:tx>
          <c:spPr>
            <a:gradFill rotWithShape="1">
              <a:gsLst>
                <a:gs pos="0">
                  <a:schemeClr val="accent4">
                    <a:tint val="93000"/>
                    <a:shade val="51000"/>
                    <a:satMod val="130000"/>
                  </a:schemeClr>
                </a:gs>
                <a:gs pos="80000">
                  <a:schemeClr val="accent4">
                    <a:tint val="93000"/>
                    <a:shade val="93000"/>
                    <a:satMod val="130000"/>
                  </a:schemeClr>
                </a:gs>
                <a:gs pos="100000">
                  <a:schemeClr val="accent4">
                    <a:tint val="93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'PORCENTAJE CUMPLIMIENTO EAV'!$C$7:$M$7</c:f>
              <c:strCache>
                <c:ptCount val="11"/>
                <c:pt idx="0">
                  <c:v>MEN</c:v>
                </c:pt>
                <c:pt idx="1">
                  <c:v>ICFES</c:v>
                </c:pt>
                <c:pt idx="2">
                  <c:v>ICETEX</c:v>
                </c:pt>
                <c:pt idx="3">
                  <c:v>INCI</c:v>
                </c:pt>
                <c:pt idx="4">
                  <c:v>INSOR</c:v>
                </c:pt>
                <c:pt idx="5">
                  <c:v>FODESEP</c:v>
                </c:pt>
                <c:pt idx="6">
                  <c:v>INTENALCO</c:v>
                </c:pt>
                <c:pt idx="7">
                  <c:v>ETITC</c:v>
                </c:pt>
                <c:pt idx="8">
                  <c:v>INFOTEP SAN ANDRES</c:v>
                </c:pt>
                <c:pt idx="9">
                  <c:v>INFOTEP SAN JUAN DEL CESAR</c:v>
                </c:pt>
                <c:pt idx="10">
                  <c:v>ITFIT</c:v>
                </c:pt>
              </c:strCache>
            </c:strRef>
          </c:cat>
          <c:val>
            <c:numRef>
              <c:f>'PORCENTAJE CUMPLIMIENTO EAV'!$C$11:$M$11</c:f>
            </c:numRef>
          </c:val>
          <c:extLst>
            <c:ext xmlns:c16="http://schemas.microsoft.com/office/drawing/2014/chart" uri="{C3380CC4-5D6E-409C-BE32-E72D297353CC}">
              <c16:uniqueId val="{00000003-AF58-4E8D-A0DE-59F02CA615AC}"/>
            </c:ext>
          </c:extLst>
        </c:ser>
        <c:ser>
          <c:idx val="4"/>
          <c:order val="4"/>
          <c:tx>
            <c:strRef>
              <c:f>'PORCENTAJE CUMPLIMIENTO EAV'!$B$12</c:f>
              <c:strCache>
                <c:ptCount val="1"/>
                <c:pt idx="0">
                  <c:v>Información y Comunicación</c:v>
                </c:pt>
              </c:strCache>
            </c:strRef>
          </c:tx>
          <c:spPr>
            <a:gradFill rotWithShape="1">
              <a:gsLst>
                <a:gs pos="0">
                  <a:schemeClr val="accent4">
                    <a:shade val="92000"/>
                    <a:shade val="51000"/>
                    <a:satMod val="130000"/>
                  </a:schemeClr>
                </a:gs>
                <a:gs pos="80000">
                  <a:schemeClr val="accent4">
                    <a:shade val="92000"/>
                    <a:shade val="93000"/>
                    <a:satMod val="130000"/>
                  </a:schemeClr>
                </a:gs>
                <a:gs pos="100000">
                  <a:schemeClr val="accent4">
                    <a:shade val="92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'PORCENTAJE CUMPLIMIENTO EAV'!$C$7:$M$7</c:f>
              <c:strCache>
                <c:ptCount val="11"/>
                <c:pt idx="0">
                  <c:v>MEN</c:v>
                </c:pt>
                <c:pt idx="1">
                  <c:v>ICFES</c:v>
                </c:pt>
                <c:pt idx="2">
                  <c:v>ICETEX</c:v>
                </c:pt>
                <c:pt idx="3">
                  <c:v>INCI</c:v>
                </c:pt>
                <c:pt idx="4">
                  <c:v>INSOR</c:v>
                </c:pt>
                <c:pt idx="5">
                  <c:v>FODESEP</c:v>
                </c:pt>
                <c:pt idx="6">
                  <c:v>INTENALCO</c:v>
                </c:pt>
                <c:pt idx="7">
                  <c:v>ETITC</c:v>
                </c:pt>
                <c:pt idx="8">
                  <c:v>INFOTEP SAN ANDRES</c:v>
                </c:pt>
                <c:pt idx="9">
                  <c:v>INFOTEP SAN JUAN DEL CESAR</c:v>
                </c:pt>
                <c:pt idx="10">
                  <c:v>ITFIT</c:v>
                </c:pt>
              </c:strCache>
            </c:strRef>
          </c:cat>
          <c:val>
            <c:numRef>
              <c:f>'PORCENTAJE CUMPLIMIENTO EAV'!$C$12:$M$12</c:f>
            </c:numRef>
          </c:val>
          <c:extLst>
            <c:ext xmlns:c16="http://schemas.microsoft.com/office/drawing/2014/chart" uri="{C3380CC4-5D6E-409C-BE32-E72D297353CC}">
              <c16:uniqueId val="{00000004-AF58-4E8D-A0DE-59F02CA615AC}"/>
            </c:ext>
          </c:extLst>
        </c:ser>
        <c:ser>
          <c:idx val="5"/>
          <c:order val="5"/>
          <c:tx>
            <c:strRef>
              <c:f>'PORCENTAJE CUMPLIMIENTO EAV'!$B$13</c:f>
              <c:strCache>
                <c:ptCount val="1"/>
                <c:pt idx="0">
                  <c:v>Gestión del Conocimiento</c:v>
                </c:pt>
              </c:strCache>
            </c:strRef>
          </c:tx>
          <c:spPr>
            <a:gradFill rotWithShape="1">
              <a:gsLst>
                <a:gs pos="0">
                  <a:schemeClr val="accent4">
                    <a:shade val="76000"/>
                    <a:shade val="51000"/>
                    <a:satMod val="130000"/>
                  </a:schemeClr>
                </a:gs>
                <a:gs pos="80000">
                  <a:schemeClr val="accent4">
                    <a:shade val="76000"/>
                    <a:shade val="93000"/>
                    <a:satMod val="130000"/>
                  </a:schemeClr>
                </a:gs>
                <a:gs pos="100000">
                  <a:schemeClr val="accent4">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'PORCENTAJE CUMPLIMIENTO EAV'!$C$7:$M$7</c:f>
              <c:strCache>
                <c:ptCount val="11"/>
                <c:pt idx="0">
                  <c:v>MEN</c:v>
                </c:pt>
                <c:pt idx="1">
                  <c:v>ICFES</c:v>
                </c:pt>
                <c:pt idx="2">
                  <c:v>ICETEX</c:v>
                </c:pt>
                <c:pt idx="3">
                  <c:v>INCI</c:v>
                </c:pt>
                <c:pt idx="4">
                  <c:v>INSOR</c:v>
                </c:pt>
                <c:pt idx="5">
                  <c:v>FODESEP</c:v>
                </c:pt>
                <c:pt idx="6">
                  <c:v>INTENALCO</c:v>
                </c:pt>
                <c:pt idx="7">
                  <c:v>ETITC</c:v>
                </c:pt>
                <c:pt idx="8">
                  <c:v>INFOTEP SAN ANDRES</c:v>
                </c:pt>
                <c:pt idx="9">
                  <c:v>INFOTEP SAN JUAN DEL CESAR</c:v>
                </c:pt>
                <c:pt idx="10">
                  <c:v>ITFIT</c:v>
                </c:pt>
              </c:strCache>
            </c:strRef>
          </c:cat>
          <c:val>
            <c:numRef>
              <c:f>'PORCENTAJE CUMPLIMIENTO EAV'!$C$13:$M$13</c:f>
            </c:numRef>
          </c:val>
          <c:extLst>
            <c:ext xmlns:c16="http://schemas.microsoft.com/office/drawing/2014/chart" uri="{C3380CC4-5D6E-409C-BE32-E72D297353CC}">
              <c16:uniqueId val="{00000005-AF58-4E8D-A0DE-59F02CA615AC}"/>
            </c:ext>
          </c:extLst>
        </c:ser>
        <c:ser>
          <c:idx val="6"/>
          <c:order val="6"/>
          <c:tx>
            <c:strRef>
              <c:f>'PORCENTAJE CUMPLIMIENTO EAV'!$B$14</c:f>
              <c:strCache>
                <c:ptCount val="1"/>
                <c:pt idx="0">
                  <c:v>Control Interno</c:v>
                </c:pt>
              </c:strCache>
            </c:strRef>
          </c:tx>
          <c:spPr>
            <a:gradFill rotWithShape="1">
              <a:gsLst>
                <a:gs pos="0">
                  <a:schemeClr val="accent4">
                    <a:shade val="61000"/>
                    <a:shade val="51000"/>
                    <a:satMod val="130000"/>
                  </a:schemeClr>
                </a:gs>
                <a:gs pos="80000">
                  <a:schemeClr val="accent4">
                    <a:shade val="61000"/>
                    <a:shade val="93000"/>
                    <a:satMod val="130000"/>
                  </a:schemeClr>
                </a:gs>
                <a:gs pos="100000">
                  <a:schemeClr val="accent4">
                    <a:shade val="61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'PORCENTAJE CUMPLIMIENTO EAV'!$C$7:$M$7</c:f>
              <c:strCache>
                <c:ptCount val="11"/>
                <c:pt idx="0">
                  <c:v>MEN</c:v>
                </c:pt>
                <c:pt idx="1">
                  <c:v>ICFES</c:v>
                </c:pt>
                <c:pt idx="2">
                  <c:v>ICETEX</c:v>
                </c:pt>
                <c:pt idx="3">
                  <c:v>INCI</c:v>
                </c:pt>
                <c:pt idx="4">
                  <c:v>INSOR</c:v>
                </c:pt>
                <c:pt idx="5">
                  <c:v>FODESEP</c:v>
                </c:pt>
                <c:pt idx="6">
                  <c:v>INTENALCO</c:v>
                </c:pt>
                <c:pt idx="7">
                  <c:v>ETITC</c:v>
                </c:pt>
                <c:pt idx="8">
                  <c:v>INFOTEP SAN ANDRES</c:v>
                </c:pt>
                <c:pt idx="9">
                  <c:v>INFOTEP SAN JUAN DEL CESAR</c:v>
                </c:pt>
                <c:pt idx="10">
                  <c:v>ITFIT</c:v>
                </c:pt>
              </c:strCache>
            </c:strRef>
          </c:cat>
          <c:val>
            <c:numRef>
              <c:f>'PORCENTAJE CUMPLIMIENTO EAV'!$C$14:$M$14</c:f>
            </c:numRef>
          </c:val>
          <c:extLst>
            <c:ext xmlns:c16="http://schemas.microsoft.com/office/drawing/2014/chart" uri="{C3380CC4-5D6E-409C-BE32-E72D297353CC}">
              <c16:uniqueId val="{00000006-AF58-4E8D-A0DE-59F02CA615AC}"/>
            </c:ext>
          </c:extLst>
        </c:ser>
        <c:ser>
          <c:idx val="7"/>
          <c:order val="7"/>
          <c:tx>
            <c:strRef>
              <c:f>'PORCENTAJE CUMPLIMIENTO EAV'!$B$15</c:f>
              <c:strCache>
                <c:ptCount val="1"/>
                <c:pt idx="0">
                  <c:v>Promedio  de cumplimiento de las Entidades</c:v>
                </c:pt>
              </c:strCache>
            </c:strRef>
          </c:tx>
          <c:spPr>
            <a:gradFill rotWithShape="1">
              <a:gsLst>
                <a:gs pos="0">
                  <a:schemeClr val="accent4">
                    <a:shade val="45000"/>
                    <a:shade val="51000"/>
                    <a:satMod val="130000"/>
                  </a:schemeClr>
                </a:gs>
                <a:gs pos="80000">
                  <a:schemeClr val="accent4">
                    <a:shade val="45000"/>
                    <a:shade val="93000"/>
                    <a:satMod val="130000"/>
                  </a:schemeClr>
                </a:gs>
                <a:gs pos="100000">
                  <a:schemeClr val="accent4">
                    <a:shade val="45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'PORCENTAJE CUMPLIMIENTO EAV'!$C$7:$M$7</c:f>
              <c:strCache>
                <c:ptCount val="11"/>
                <c:pt idx="0">
                  <c:v>MEN</c:v>
                </c:pt>
                <c:pt idx="1">
                  <c:v>ICFES</c:v>
                </c:pt>
                <c:pt idx="2">
                  <c:v>ICETEX</c:v>
                </c:pt>
                <c:pt idx="3">
                  <c:v>INCI</c:v>
                </c:pt>
                <c:pt idx="4">
                  <c:v>INSOR</c:v>
                </c:pt>
                <c:pt idx="5">
                  <c:v>FODESEP</c:v>
                </c:pt>
                <c:pt idx="6">
                  <c:v>INTENALCO</c:v>
                </c:pt>
                <c:pt idx="7">
                  <c:v>ETITC</c:v>
                </c:pt>
                <c:pt idx="8">
                  <c:v>INFOTEP SAN ANDRES</c:v>
                </c:pt>
                <c:pt idx="9">
                  <c:v>INFOTEP SAN JUAN DEL CESAR</c:v>
                </c:pt>
                <c:pt idx="10">
                  <c:v>ITFIT</c:v>
                </c:pt>
              </c:strCache>
            </c:strRef>
          </c:cat>
          <c:val>
            <c:numRef>
              <c:f>'PORCENTAJE CUMPLIMIENTO EAV'!$C$15:$M$15</c:f>
              <c:numCache>
                <c:formatCode>0.00%</c:formatCode>
                <c:ptCount val="11"/>
                <c:pt idx="0">
                  <c:v>0.98105799319727893</c:v>
                </c:pt>
                <c:pt idx="1">
                  <c:v>0.97289285714285711</c:v>
                </c:pt>
                <c:pt idx="2">
                  <c:v>0.97945600116476539</c:v>
                </c:pt>
                <c:pt idx="3">
                  <c:v>0.89175170068027199</c:v>
                </c:pt>
                <c:pt idx="4">
                  <c:v>0.98721819727891158</c:v>
                </c:pt>
                <c:pt idx="5">
                  <c:v>0.81220562770562765</c:v>
                </c:pt>
                <c:pt idx="6">
                  <c:v>0.91802721088435379</c:v>
                </c:pt>
                <c:pt idx="7">
                  <c:v>0.88183673469387747</c:v>
                </c:pt>
                <c:pt idx="8">
                  <c:v>0.73292888064316641</c:v>
                </c:pt>
                <c:pt idx="9">
                  <c:v>0.94595238095238099</c:v>
                </c:pt>
                <c:pt idx="10">
                  <c:v>0.96294063079777359</c:v>
                </c:pt>
              </c:numCache>
            </c:numRef>
          </c:val>
          <c:extLst>
            <c:ext xmlns:c16="http://schemas.microsoft.com/office/drawing/2014/chart" uri="{C3380CC4-5D6E-409C-BE32-E72D297353CC}">
              <c16:uniqueId val="{00000007-AF58-4E8D-A0DE-59F02CA615AC}"/>
            </c:ext>
          </c:extLst>
        </c:ser>
        <c:dLbls>
          <c:dLblPos val="outEnd"/>
          <c:showLegendKey val="0"/>
          <c:showVal val="1"/>
          <c:showCatName val="0"/>
          <c:showSerName val="0"/>
          <c:showPercent val="0"/>
          <c:showBubbleSize val="0"/>
        </c:dLbls>
        <c:gapWidth val="115"/>
        <c:overlap val="-20"/>
        <c:axId val="441910648"/>
        <c:axId val="441919832"/>
      </c:barChart>
      <c:catAx>
        <c:axId val="44191064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1919832"/>
        <c:crosses val="autoZero"/>
        <c:auto val="1"/>
        <c:lblAlgn val="ctr"/>
        <c:lblOffset val="100"/>
        <c:noMultiLvlLbl val="0"/>
      </c:catAx>
      <c:valAx>
        <c:axId val="44191983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1910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CO">
                <a:solidFill>
                  <a:sysClr val="windowText" lastClr="000000"/>
                </a:solidFill>
              </a:rPr>
              <a:t>PLAN DE ACCIÓN SECTORIAL - SEGUIMIENTO IV</a:t>
            </a:r>
            <a:r>
              <a:rPr lang="es-CO" baseline="0">
                <a:solidFill>
                  <a:sysClr val="windowText" lastClr="000000"/>
                </a:solidFill>
              </a:rPr>
              <a:t> </a:t>
            </a:r>
            <a:r>
              <a:rPr lang="es-CO">
                <a:solidFill>
                  <a:sysClr val="windowText" lastClr="000000"/>
                </a:solidFill>
              </a:rPr>
              <a:t>TRIMESTRE 2018</a:t>
            </a:r>
          </a:p>
          <a:p>
            <a:pPr>
              <a:defRPr>
                <a:solidFill>
                  <a:sysClr val="windowText" lastClr="000000"/>
                </a:solidFill>
              </a:defRPr>
            </a:pPr>
            <a:r>
              <a:rPr lang="es-CO">
                <a:solidFill>
                  <a:sysClr val="windowText" lastClr="000000"/>
                </a:solidFill>
              </a:rPr>
              <a:t>Porcentaje  de cumplimiento de las Dimensiones</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CO"/>
        </a:p>
      </c:txPr>
    </c:title>
    <c:autoTitleDeleted val="0"/>
    <c:plotArea>
      <c:layout/>
      <c:barChart>
        <c:barDir val="bar"/>
        <c:grouping val="clustered"/>
        <c:varyColors val="0"/>
        <c:ser>
          <c:idx val="0"/>
          <c:order val="0"/>
          <c:tx>
            <c:strRef>
              <c:f>'PORCENTAJE CUMPLIMIENTO EAV'!$C$18</c:f>
              <c:strCache>
                <c:ptCount val="1"/>
                <c:pt idx="0">
                  <c:v>%  de cumplimiento</c:v>
                </c:pt>
              </c:strCache>
            </c:strRef>
          </c:tx>
          <c:spPr>
            <a:solidFill>
              <a:schemeClr val="accent4">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'PORCENTAJE CUMPLIMIENTO EAV'!$B$19:$B$25</c:f>
              <c:strCache>
                <c:ptCount val="7"/>
                <c:pt idx="0">
                  <c:v>Evaluación de resultados</c:v>
                </c:pt>
                <c:pt idx="1">
                  <c:v>Direccionamiento Estratégico</c:v>
                </c:pt>
                <c:pt idx="2">
                  <c:v>Talento Humano</c:v>
                </c:pt>
                <c:pt idx="3">
                  <c:v>Control Interno</c:v>
                </c:pt>
                <c:pt idx="4">
                  <c:v>Valores para resultados</c:v>
                </c:pt>
                <c:pt idx="5">
                  <c:v>Información y Comunicación</c:v>
                </c:pt>
                <c:pt idx="6">
                  <c:v>Gestión del Conocimiento</c:v>
                </c:pt>
              </c:strCache>
            </c:strRef>
          </c:cat>
          <c:val>
            <c:numRef>
              <c:f>'PORCENTAJE CUMPLIMIENTO EAV'!$C$19:$C$25</c:f>
              <c:numCache>
                <c:formatCode>0.00%</c:formatCode>
                <c:ptCount val="7"/>
                <c:pt idx="0">
                  <c:v>0.9780075757575758</c:v>
                </c:pt>
                <c:pt idx="1">
                  <c:v>0.95024935064935068</c:v>
                </c:pt>
                <c:pt idx="2">
                  <c:v>0.9540426210153482</c:v>
                </c:pt>
                <c:pt idx="3">
                  <c:v>0.92999999999999994</c:v>
                </c:pt>
                <c:pt idx="4">
                  <c:v>0.93329417486338839</c:v>
                </c:pt>
                <c:pt idx="5">
                  <c:v>0.89460909090909069</c:v>
                </c:pt>
                <c:pt idx="6">
                  <c:v>0.76818181818181819</c:v>
                </c:pt>
              </c:numCache>
            </c:numRef>
          </c:val>
          <c:extLst>
            <c:ext xmlns:c16="http://schemas.microsoft.com/office/drawing/2014/chart" uri="{C3380CC4-5D6E-409C-BE32-E72D297353CC}">
              <c16:uniqueId val="{00000000-FB20-480F-95D0-0B36744767E2}"/>
            </c:ext>
          </c:extLst>
        </c:ser>
        <c:dLbls>
          <c:showLegendKey val="0"/>
          <c:showVal val="0"/>
          <c:showCatName val="0"/>
          <c:showSerName val="0"/>
          <c:showPercent val="0"/>
          <c:showBubbleSize val="0"/>
        </c:dLbls>
        <c:gapWidth val="115"/>
        <c:overlap val="-20"/>
        <c:axId val="441828648"/>
        <c:axId val="441828976"/>
      </c:barChart>
      <c:catAx>
        <c:axId val="44182864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1828976"/>
        <c:crosses val="autoZero"/>
        <c:auto val="1"/>
        <c:lblAlgn val="ctr"/>
        <c:lblOffset val="100"/>
        <c:noMultiLvlLbl val="0"/>
      </c:catAx>
      <c:valAx>
        <c:axId val="44182897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1828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142875</xdr:colOff>
      <xdr:row>16</xdr:row>
      <xdr:rowOff>19050</xdr:rowOff>
    </xdr:from>
    <xdr:to>
      <xdr:col>12</xdr:col>
      <xdr:colOff>428625</xdr:colOff>
      <xdr:row>46</xdr:row>
      <xdr:rowOff>38100</xdr:rowOff>
    </xdr:to>
    <xdr:graphicFrame macro="">
      <xdr:nvGraphicFramePr>
        <xdr:cNvPr id="2" name="Gráfico 1">
          <a:extLst>
            <a:ext uri="{FF2B5EF4-FFF2-40B4-BE49-F238E27FC236}">
              <a16:creationId xmlns:a16="http://schemas.microsoft.com/office/drawing/2014/main" id="{E9C5C9BB-8862-4D0F-A5D3-99B09E8F2C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476251</xdr:colOff>
      <xdr:row>16</xdr:row>
      <xdr:rowOff>19050</xdr:rowOff>
    </xdr:from>
    <xdr:to>
      <xdr:col>20</xdr:col>
      <xdr:colOff>666751</xdr:colOff>
      <xdr:row>41</xdr:row>
      <xdr:rowOff>19050</xdr:rowOff>
    </xdr:to>
    <xdr:graphicFrame macro="">
      <xdr:nvGraphicFramePr>
        <xdr:cNvPr id="3" name="Gráfico 2">
          <a:extLst>
            <a:ext uri="{FF2B5EF4-FFF2-40B4-BE49-F238E27FC236}">
              <a16:creationId xmlns:a16="http://schemas.microsoft.com/office/drawing/2014/main" id="{4C2E9C9D-BE27-4AC1-949D-C9201E2190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163286</xdr:rowOff>
    </xdr:from>
    <xdr:to>
      <xdr:col>2</xdr:col>
      <xdr:colOff>979714</xdr:colOff>
      <xdr:row>2</xdr:row>
      <xdr:rowOff>93436</xdr:rowOff>
    </xdr:to>
    <xdr:pic>
      <xdr:nvPicPr>
        <xdr:cNvPr id="3" name="Imagen 2">
          <a:extLst>
            <a:ext uri="{FF2B5EF4-FFF2-40B4-BE49-F238E27FC236}">
              <a16:creationId xmlns:a16="http://schemas.microsoft.com/office/drawing/2014/main" id="{72CD5359-FBAA-45A9-A2B3-328655F27927}"/>
            </a:ext>
          </a:extLst>
        </xdr:cNvPr>
        <xdr:cNvPicPr/>
      </xdr:nvPicPr>
      <xdr:blipFill>
        <a:blip xmlns:r="http://schemas.openxmlformats.org/officeDocument/2006/relationships" r:embed="rId1"/>
        <a:stretch>
          <a:fillRect/>
        </a:stretch>
      </xdr:blipFill>
      <xdr:spPr>
        <a:xfrm>
          <a:off x="0" y="163286"/>
          <a:ext cx="3619500" cy="596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17319</xdr:colOff>
      <xdr:row>0</xdr:row>
      <xdr:rowOff>173182</xdr:rowOff>
    </xdr:from>
    <xdr:to>
      <xdr:col>2</xdr:col>
      <xdr:colOff>813955</xdr:colOff>
      <xdr:row>1</xdr:row>
      <xdr:rowOff>337127</xdr:rowOff>
    </xdr:to>
    <xdr:pic>
      <xdr:nvPicPr>
        <xdr:cNvPr id="3" name="Imagen 2">
          <a:extLst>
            <a:ext uri="{FF2B5EF4-FFF2-40B4-BE49-F238E27FC236}">
              <a16:creationId xmlns:a16="http://schemas.microsoft.com/office/drawing/2014/main" id="{760BA615-ACB9-410F-B8F0-E7ADB60438E4}"/>
            </a:ext>
          </a:extLst>
        </xdr:cNvPr>
        <xdr:cNvPicPr/>
      </xdr:nvPicPr>
      <xdr:blipFill>
        <a:blip xmlns:r="http://schemas.openxmlformats.org/officeDocument/2006/relationships" r:embed="rId1"/>
        <a:stretch>
          <a:fillRect/>
        </a:stretch>
      </xdr:blipFill>
      <xdr:spPr>
        <a:xfrm>
          <a:off x="17319" y="173182"/>
          <a:ext cx="3619500" cy="596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81643</xdr:colOff>
      <xdr:row>0</xdr:row>
      <xdr:rowOff>176893</xdr:rowOff>
    </xdr:from>
    <xdr:to>
      <xdr:col>2</xdr:col>
      <xdr:colOff>966107</xdr:colOff>
      <xdr:row>2</xdr:row>
      <xdr:rowOff>11793</xdr:rowOff>
    </xdr:to>
    <xdr:pic>
      <xdr:nvPicPr>
        <xdr:cNvPr id="3" name="Imagen 2">
          <a:extLst>
            <a:ext uri="{FF2B5EF4-FFF2-40B4-BE49-F238E27FC236}">
              <a16:creationId xmlns:a16="http://schemas.microsoft.com/office/drawing/2014/main" id="{FC72A488-0D4F-4AB3-8D51-62447CFB0DDF}"/>
            </a:ext>
          </a:extLst>
        </xdr:cNvPr>
        <xdr:cNvPicPr/>
      </xdr:nvPicPr>
      <xdr:blipFill>
        <a:blip xmlns:r="http://schemas.openxmlformats.org/officeDocument/2006/relationships" r:embed="rId1"/>
        <a:stretch>
          <a:fillRect/>
        </a:stretch>
      </xdr:blipFill>
      <xdr:spPr>
        <a:xfrm>
          <a:off x="81643" y="176893"/>
          <a:ext cx="3619500" cy="596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154782</xdr:colOff>
      <xdr:row>0</xdr:row>
      <xdr:rowOff>119063</xdr:rowOff>
    </xdr:from>
    <xdr:to>
      <xdr:col>2</xdr:col>
      <xdr:colOff>1393032</xdr:colOff>
      <xdr:row>2</xdr:row>
      <xdr:rowOff>37307</xdr:rowOff>
    </xdr:to>
    <xdr:pic>
      <xdr:nvPicPr>
        <xdr:cNvPr id="3" name="Imagen 2">
          <a:extLst>
            <a:ext uri="{FF2B5EF4-FFF2-40B4-BE49-F238E27FC236}">
              <a16:creationId xmlns:a16="http://schemas.microsoft.com/office/drawing/2014/main" id="{7A9D0DDA-2CDE-4F5E-88FC-6E074DAE0EDC}"/>
            </a:ext>
          </a:extLst>
        </xdr:cNvPr>
        <xdr:cNvPicPr/>
      </xdr:nvPicPr>
      <xdr:blipFill>
        <a:blip xmlns:r="http://schemas.openxmlformats.org/officeDocument/2006/relationships" r:embed="rId1"/>
        <a:stretch>
          <a:fillRect/>
        </a:stretch>
      </xdr:blipFill>
      <xdr:spPr>
        <a:xfrm>
          <a:off x="154782" y="119063"/>
          <a:ext cx="3619500" cy="596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40821</xdr:colOff>
      <xdr:row>0</xdr:row>
      <xdr:rowOff>122464</xdr:rowOff>
    </xdr:from>
    <xdr:to>
      <xdr:col>2</xdr:col>
      <xdr:colOff>435428</xdr:colOff>
      <xdr:row>2</xdr:row>
      <xdr:rowOff>120650</xdr:rowOff>
    </xdr:to>
    <xdr:pic>
      <xdr:nvPicPr>
        <xdr:cNvPr id="3" name="Imagen 2">
          <a:extLst>
            <a:ext uri="{FF2B5EF4-FFF2-40B4-BE49-F238E27FC236}">
              <a16:creationId xmlns:a16="http://schemas.microsoft.com/office/drawing/2014/main" id="{D01D6315-BFDF-4FFA-9F37-F532E1265A36}"/>
            </a:ext>
          </a:extLst>
        </xdr:cNvPr>
        <xdr:cNvPicPr/>
      </xdr:nvPicPr>
      <xdr:blipFill>
        <a:blip xmlns:r="http://schemas.openxmlformats.org/officeDocument/2006/relationships" r:embed="rId1"/>
        <a:stretch>
          <a:fillRect/>
        </a:stretch>
      </xdr:blipFill>
      <xdr:spPr>
        <a:xfrm>
          <a:off x="40821" y="122464"/>
          <a:ext cx="3619500" cy="596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142875</xdr:rowOff>
    </xdr:from>
    <xdr:to>
      <xdr:col>3</xdr:col>
      <xdr:colOff>95250</xdr:colOff>
      <xdr:row>2</xdr:row>
      <xdr:rowOff>120650</xdr:rowOff>
    </xdr:to>
    <xdr:pic>
      <xdr:nvPicPr>
        <xdr:cNvPr id="3" name="Imagen 2">
          <a:extLst>
            <a:ext uri="{FF2B5EF4-FFF2-40B4-BE49-F238E27FC236}">
              <a16:creationId xmlns:a16="http://schemas.microsoft.com/office/drawing/2014/main" id="{415F3964-6446-401E-9422-11D6FB2E2864}"/>
            </a:ext>
          </a:extLst>
        </xdr:cNvPr>
        <xdr:cNvPicPr/>
      </xdr:nvPicPr>
      <xdr:blipFill>
        <a:blip xmlns:r="http://schemas.openxmlformats.org/officeDocument/2006/relationships" r:embed="rId1"/>
        <a:stretch>
          <a:fillRect/>
        </a:stretch>
      </xdr:blipFill>
      <xdr:spPr>
        <a:xfrm>
          <a:off x="95250" y="142875"/>
          <a:ext cx="3619500" cy="596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1000125</xdr:colOff>
      <xdr:row>1</xdr:row>
      <xdr:rowOff>239712</xdr:rowOff>
    </xdr:to>
    <xdr:pic>
      <xdr:nvPicPr>
        <xdr:cNvPr id="3" name="Imagen 2">
          <a:extLst>
            <a:ext uri="{FF2B5EF4-FFF2-40B4-BE49-F238E27FC236}">
              <a16:creationId xmlns:a16="http://schemas.microsoft.com/office/drawing/2014/main" id="{AF6CA0E1-2673-4856-AED4-7B816C82B2C9}"/>
            </a:ext>
          </a:extLst>
        </xdr:cNvPr>
        <xdr:cNvPicPr/>
      </xdr:nvPicPr>
      <xdr:blipFill>
        <a:blip xmlns:r="http://schemas.openxmlformats.org/officeDocument/2006/relationships" r:embed="rId1"/>
        <a:stretch>
          <a:fillRect/>
        </a:stretch>
      </xdr:blipFill>
      <xdr:spPr>
        <a:xfrm>
          <a:off x="0" y="0"/>
          <a:ext cx="3619500" cy="596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0330B-4E65-4617-8656-65087EB417FC}">
  <dimension ref="B5:O52"/>
  <sheetViews>
    <sheetView tabSelected="1" workbookViewId="0">
      <selection activeCell="B35" sqref="B35"/>
    </sheetView>
  </sheetViews>
  <sheetFormatPr baseColWidth="10" defaultRowHeight="12.75"/>
  <cols>
    <col min="1" max="1" width="5.140625" style="13" customWidth="1"/>
    <col min="2" max="2" width="31" style="13" customWidth="1"/>
    <col min="3" max="12" width="11.42578125" style="13" customWidth="1"/>
    <col min="13" max="13" width="11.5703125" style="13" customWidth="1"/>
    <col min="14" max="14" width="13" style="243" customWidth="1"/>
    <col min="15" max="16384" width="11.42578125" style="13"/>
  </cols>
  <sheetData>
    <row r="5" spans="2:15" ht="12.75" customHeight="1">
      <c r="B5" s="309" t="s">
        <v>985</v>
      </c>
      <c r="C5" s="311" t="s">
        <v>1056</v>
      </c>
      <c r="D5" s="312"/>
      <c r="E5" s="312"/>
      <c r="F5" s="312"/>
      <c r="G5" s="312"/>
      <c r="H5" s="312"/>
      <c r="I5" s="312"/>
      <c r="J5" s="312"/>
      <c r="K5" s="312"/>
      <c r="L5" s="312"/>
      <c r="M5" s="312"/>
      <c r="N5" s="312"/>
    </row>
    <row r="6" spans="2:15" ht="10.5" customHeight="1">
      <c r="B6" s="310"/>
      <c r="C6" s="313"/>
      <c r="D6" s="314"/>
      <c r="E6" s="314"/>
      <c r="F6" s="314"/>
      <c r="G6" s="314"/>
      <c r="H6" s="314"/>
      <c r="I6" s="314"/>
      <c r="J6" s="314"/>
      <c r="K6" s="314"/>
      <c r="L6" s="314"/>
      <c r="M6" s="314"/>
      <c r="N6" s="314"/>
    </row>
    <row r="7" spans="2:15" ht="35.25" customHeight="1">
      <c r="B7" s="246"/>
      <c r="C7" s="247" t="s">
        <v>198</v>
      </c>
      <c r="D7" s="247" t="s">
        <v>349</v>
      </c>
      <c r="E7" s="247" t="s">
        <v>283</v>
      </c>
      <c r="F7" s="247" t="s">
        <v>371</v>
      </c>
      <c r="G7" s="247" t="s">
        <v>380</v>
      </c>
      <c r="H7" s="247" t="s">
        <v>391</v>
      </c>
      <c r="I7" s="247" t="s">
        <v>487</v>
      </c>
      <c r="J7" s="247" t="s">
        <v>392</v>
      </c>
      <c r="K7" s="247" t="s">
        <v>555</v>
      </c>
      <c r="L7" s="247" t="s">
        <v>397</v>
      </c>
      <c r="M7" s="247" t="s">
        <v>556</v>
      </c>
      <c r="N7" s="247" t="s">
        <v>1057</v>
      </c>
    </row>
    <row r="8" spans="2:15" hidden="1">
      <c r="B8" s="248" t="s">
        <v>986</v>
      </c>
      <c r="C8" s="242">
        <f>+'TALENTO HUMANO'!N19</f>
        <v>0.95599999999999985</v>
      </c>
      <c r="D8" s="242">
        <f>+'TALENTO HUMANO'!O19</f>
        <v>0.98199999999999998</v>
      </c>
      <c r="E8" s="242">
        <f>+'TALENTO HUMANO'!P19</f>
        <v>0.99729999999999985</v>
      </c>
      <c r="F8" s="242">
        <f>+'TALENTO HUMANO'!Q19</f>
        <v>0.95500000000000007</v>
      </c>
      <c r="G8" s="242">
        <f>+'TALENTO HUMANO'!R19</f>
        <v>0.99</v>
      </c>
      <c r="H8" s="242">
        <f>+'TALENTO HUMANO'!S19</f>
        <v>0.83700000000000008</v>
      </c>
      <c r="I8" s="242">
        <f>+'TALENTO HUMANO'!T19</f>
        <v>0.8999999999999998</v>
      </c>
      <c r="J8" s="242">
        <f>+'TALENTO HUMANO'!U19</f>
        <v>0.95</v>
      </c>
      <c r="K8" s="242">
        <f>+'TALENTO HUMANO'!V19</f>
        <v>0.95216883116883122</v>
      </c>
      <c r="L8" s="242">
        <f>+'TALENTO HUMANO'!W19</f>
        <v>1</v>
      </c>
      <c r="M8" s="242">
        <f>+'TALENTO HUMANO'!X19</f>
        <v>0.97499999999999998</v>
      </c>
      <c r="N8" s="247">
        <f>+AVERAGE(C8:M8)</f>
        <v>0.95404262101534831</v>
      </c>
      <c r="O8" s="315"/>
    </row>
    <row r="9" spans="2:15" hidden="1">
      <c r="B9" s="248" t="s">
        <v>987</v>
      </c>
      <c r="C9" s="242">
        <f>+'DIRECCIONAMIENTO ESTRATEGICO'!N16</f>
        <v>0.99651428571428569</v>
      </c>
      <c r="D9" s="242">
        <f>+'DIRECCIONAMIENTO ESTRATEGICO'!O16</f>
        <v>1</v>
      </c>
      <c r="E9" s="242">
        <f>+'DIRECCIONAMIENTO ESTRATEGICO'!P16</f>
        <v>0.99428571428571444</v>
      </c>
      <c r="F9" s="242">
        <f>+'DIRECCIONAMIENTO ESTRATEGICO'!Q16</f>
        <v>0.8214285714285714</v>
      </c>
      <c r="G9" s="242">
        <f>+'DIRECCIONAMIENTO ESTRATEGICO'!R16</f>
        <v>0.99908571428571424</v>
      </c>
      <c r="H9" s="242">
        <f>+'DIRECCIONAMIENTO ESTRATEGICO'!S16</f>
        <v>0.67666666666666664</v>
      </c>
      <c r="I9" s="242">
        <f>+'DIRECCIONAMIENTO ESTRATEGICO'!T16</f>
        <v>0.98285714285714287</v>
      </c>
      <c r="J9" s="242">
        <f>+'DIRECCIONAMIENTO ESTRATEGICO'!U16</f>
        <v>0.94285714285714284</v>
      </c>
      <c r="K9" s="242">
        <f>+'DIRECCIONAMIENTO ESTRATEGICO'!V16</f>
        <v>1</v>
      </c>
      <c r="L9" s="242">
        <f>+'DIRECCIONAMIENTO ESTRATEGICO'!W16</f>
        <v>1</v>
      </c>
      <c r="M9" s="242">
        <f>+'DIRECCIONAMIENTO ESTRATEGICO'!X16</f>
        <v>0.99285714285714288</v>
      </c>
      <c r="N9" s="247">
        <f t="shared" ref="N9:N14" si="0">+AVERAGE(C9:M9)</f>
        <v>0.94605021645021636</v>
      </c>
      <c r="O9" s="315"/>
    </row>
    <row r="10" spans="2:15" hidden="1">
      <c r="B10" s="248" t="s">
        <v>988</v>
      </c>
      <c r="C10" s="242">
        <f>+'VALORES PARA RESULTADOS'!N21</f>
        <v>0.98414166666666658</v>
      </c>
      <c r="D10" s="242">
        <f>+'VALORES PARA RESULTADOS'!O21</f>
        <v>0.97224999999999995</v>
      </c>
      <c r="E10" s="242">
        <f>+'VALORES PARA RESULTADOS'!P21</f>
        <v>0.98266184942319945</v>
      </c>
      <c r="F10" s="242">
        <f>+'VALORES PARA RESULTADOS'!Q21</f>
        <v>0.9325</v>
      </c>
      <c r="G10" s="242">
        <f>+'VALORES PARA RESULTADOS'!R21</f>
        <v>0.98227500000000001</v>
      </c>
      <c r="H10" s="242">
        <f>+'VALORES PARA RESULTADOS'!S21</f>
        <v>0.94727272727272727</v>
      </c>
      <c r="I10" s="242">
        <f>+'VALORES PARA RESULTADOS'!T21</f>
        <v>0.90583333333333338</v>
      </c>
      <c r="J10" s="242">
        <f>+'VALORES PARA RESULTADOS'!U21</f>
        <v>1</v>
      </c>
      <c r="K10" s="242">
        <f>+'VALORES PARA RESULTADOS'!V21</f>
        <v>0.64</v>
      </c>
      <c r="L10" s="242">
        <f>+'VALORES PARA RESULTADOS'!W21</f>
        <v>0.9916666666666667</v>
      </c>
      <c r="M10" s="242">
        <f>+'VALORES PARA RESULTADOS'!X21</f>
        <v>0.92272727272727273</v>
      </c>
      <c r="N10" s="247">
        <f t="shared" si="0"/>
        <v>0.93284804691726064</v>
      </c>
      <c r="O10" s="315"/>
    </row>
    <row r="11" spans="2:15" hidden="1">
      <c r="B11" s="248" t="s">
        <v>989</v>
      </c>
      <c r="C11" s="242">
        <f>+'EVALUACIÓN DE RESULTADOS'!N15</f>
        <v>0.99475000000000013</v>
      </c>
      <c r="D11" s="242">
        <f>+'EVALUACIÓN DE RESULTADOS'!O15</f>
        <v>1</v>
      </c>
      <c r="E11" s="242">
        <f>+'EVALUACIÓN DE RESULTADOS'!P15</f>
        <v>1</v>
      </c>
      <c r="F11" s="242">
        <f>+'EVALUACIÓN DE RESULTADOS'!Q15</f>
        <v>0.93333333333333324</v>
      </c>
      <c r="G11" s="242">
        <f>+'EVALUACIÓN DE RESULTADOS'!R15</f>
        <v>0.9966666666666667</v>
      </c>
      <c r="H11" s="242">
        <f>+'EVALUACIÓN DE RESULTADOS'!S15</f>
        <v>1</v>
      </c>
      <c r="I11" s="242">
        <f>+'EVALUACIÓN DE RESULTADOS'!T15</f>
        <v>1</v>
      </c>
      <c r="J11" s="242">
        <f>+'EVALUACIÓN DE RESULTADOS'!U15</f>
        <v>1</v>
      </c>
      <c r="K11" s="242">
        <f>+'EVALUACIÓN DE RESULTADOS'!V15</f>
        <v>0.83333333333333337</v>
      </c>
      <c r="L11" s="242">
        <f>+'EVALUACIÓN DE RESULTADOS'!W15</f>
        <v>1</v>
      </c>
      <c r="M11" s="242">
        <f>+'EVALUACIÓN DE RESULTADOS'!X15</f>
        <v>1</v>
      </c>
      <c r="N11" s="247">
        <f t="shared" si="0"/>
        <v>0.9780075757575758</v>
      </c>
      <c r="O11" s="315"/>
    </row>
    <row r="12" spans="2:15" hidden="1">
      <c r="B12" s="248" t="s">
        <v>990</v>
      </c>
      <c r="C12" s="242">
        <f>+'INFORMACIÓN Y COMUNICACIÓN'!N19</f>
        <v>0.93599999999999994</v>
      </c>
      <c r="D12" s="242">
        <f>+'INFORMACIÓN Y COMUNICACIÓN'!O19</f>
        <v>0.85600000000000009</v>
      </c>
      <c r="E12" s="242">
        <f>+'INFORMACIÓN Y COMUNICACIÓN'!P19</f>
        <v>0.94444444444444442</v>
      </c>
      <c r="F12" s="242">
        <f>+'INFORMACIÓN Y COMUNICACIÓN'!Q19</f>
        <v>1</v>
      </c>
      <c r="G12" s="242">
        <f>+'INFORMACIÓN Y COMUNICACIÓN'!R19</f>
        <v>1</v>
      </c>
      <c r="H12" s="242">
        <f>+'INFORMACIÓN Y COMUNICACIÓN'!S19</f>
        <v>0.91200000000000014</v>
      </c>
      <c r="I12" s="242">
        <f>+'INFORMACIÓN Y COMUNICACIÓN'!T19</f>
        <v>0.92500000000000004</v>
      </c>
      <c r="J12" s="242">
        <f>+'INFORMACIÓN Y COMUNICACIÓN'!U19</f>
        <v>0.78</v>
      </c>
      <c r="K12" s="242">
        <f>+'INFORMACIÓN Y COMUNICACIÓN'!V19</f>
        <v>0.63</v>
      </c>
      <c r="L12" s="242">
        <f>+'INFORMACIÓN Y COMUNICACIÓN'!W19</f>
        <v>0.88000000000000012</v>
      </c>
      <c r="M12" s="242">
        <f>+'INFORMACIÓN Y COMUNICACIÓN'!X19</f>
        <v>1</v>
      </c>
      <c r="N12" s="247">
        <f t="shared" si="0"/>
        <v>0.89667676767676774</v>
      </c>
      <c r="O12" s="315"/>
    </row>
    <row r="13" spans="2:15" hidden="1">
      <c r="B13" s="248" t="s">
        <v>991</v>
      </c>
      <c r="C13" s="242">
        <f>+'GESTIÓN DEL CONOCIMIENTO'!N11</f>
        <v>1</v>
      </c>
      <c r="D13" s="242">
        <f>+'GESTIÓN DEL CONOCIMIENTO'!O11</f>
        <v>1</v>
      </c>
      <c r="E13" s="242">
        <f>+'GESTIÓN DEL CONOCIMIENTO'!P11</f>
        <v>1</v>
      </c>
      <c r="F13" s="242">
        <f>+'GESTIÓN DEL CONOCIMIENTO'!Q11</f>
        <v>0.6</v>
      </c>
      <c r="G13" s="242">
        <f>+'GESTIÓN DEL CONOCIMIENTO'!R11</f>
        <v>0.95</v>
      </c>
      <c r="H13" s="242">
        <f>+'GESTIÓN DEL CONOCIMIENTO'!S11</f>
        <v>0.5</v>
      </c>
      <c r="I13" s="242">
        <f>+'GESTIÓN DEL CONOCIMIENTO'!T11</f>
        <v>1</v>
      </c>
      <c r="J13" s="242">
        <f>+'GESTIÓN DEL CONOCIMIENTO'!U11</f>
        <v>0.5</v>
      </c>
      <c r="K13" s="242">
        <f>+'GESTIÓN DEL CONOCIMIENTO'!V11</f>
        <v>0.3</v>
      </c>
      <c r="L13" s="242">
        <f>+'GESTIÓN DEL CONOCIMIENTO'!W11</f>
        <v>0.75</v>
      </c>
      <c r="M13" s="242">
        <f>+'GESTIÓN DEL CONOCIMIENTO'!X11</f>
        <v>0.85</v>
      </c>
      <c r="N13" s="247">
        <f t="shared" si="0"/>
        <v>0.76818181818181808</v>
      </c>
      <c r="O13" s="315"/>
    </row>
    <row r="14" spans="2:15" hidden="1">
      <c r="B14" s="248" t="s">
        <v>63</v>
      </c>
      <c r="C14" s="242">
        <f>+'CONTROL INTERNO'!N13</f>
        <v>1</v>
      </c>
      <c r="D14" s="242">
        <f>+'CONTROL INTERNO'!O13</f>
        <v>1</v>
      </c>
      <c r="E14" s="242">
        <f>+'CONTROL INTERNO'!P13</f>
        <v>0.9375</v>
      </c>
      <c r="F14" s="242">
        <f>+'CONTROL INTERNO'!Q13</f>
        <v>1</v>
      </c>
      <c r="G14" s="242">
        <f>+'CONTROL INTERNO'!R13</f>
        <v>0.99249999999999994</v>
      </c>
      <c r="H14" s="242">
        <f>+'CONTROL INTERNO'!S13</f>
        <v>0.8125</v>
      </c>
      <c r="I14" s="242">
        <f>+'CONTROL INTERNO'!T13</f>
        <v>0.71250000000000002</v>
      </c>
      <c r="J14" s="242">
        <f>+'CONTROL INTERNO'!U13</f>
        <v>1</v>
      </c>
      <c r="K14" s="242">
        <f>+'CONTROL INTERNO'!V13</f>
        <v>0.77499999999999991</v>
      </c>
      <c r="L14" s="242">
        <f>+'CONTROL INTERNO'!W13</f>
        <v>1</v>
      </c>
      <c r="M14" s="242">
        <f>+'CONTROL INTERNO'!X13</f>
        <v>1</v>
      </c>
      <c r="N14" s="247">
        <f t="shared" si="0"/>
        <v>0.93</v>
      </c>
      <c r="O14" s="315"/>
    </row>
    <row r="15" spans="2:15" s="243" customFormat="1" ht="31.5" customHeight="1">
      <c r="B15" s="302" t="s">
        <v>1059</v>
      </c>
      <c r="C15" s="304">
        <f>+AVERAGE(C8:C14)</f>
        <v>0.98105799319727893</v>
      </c>
      <c r="D15" s="304">
        <f t="shared" ref="D15:M15" si="1">+AVERAGE(D8:D14)</f>
        <v>0.97289285714285711</v>
      </c>
      <c r="E15" s="304">
        <f t="shared" si="1"/>
        <v>0.97945600116476539</v>
      </c>
      <c r="F15" s="304">
        <f t="shared" si="1"/>
        <v>0.89175170068027199</v>
      </c>
      <c r="G15" s="304">
        <f t="shared" si="1"/>
        <v>0.98721819727891158</v>
      </c>
      <c r="H15" s="304">
        <f t="shared" si="1"/>
        <v>0.81220562770562765</v>
      </c>
      <c r="I15" s="304">
        <f t="shared" si="1"/>
        <v>0.91802721088435379</v>
      </c>
      <c r="J15" s="304">
        <f t="shared" si="1"/>
        <v>0.88183673469387747</v>
      </c>
      <c r="K15" s="304">
        <f t="shared" si="1"/>
        <v>0.73292888064316641</v>
      </c>
      <c r="L15" s="304">
        <f t="shared" si="1"/>
        <v>0.94595238095238099</v>
      </c>
      <c r="M15" s="304">
        <f t="shared" si="1"/>
        <v>0.96294063079777359</v>
      </c>
      <c r="N15" s="304">
        <f>AVERAGE(C15:M15)</f>
        <v>0.91511529228556943</v>
      </c>
    </row>
    <row r="16" spans="2:15" ht="12.75" customHeight="1">
      <c r="B16" s="303"/>
      <c r="C16" s="244"/>
      <c r="D16" s="244"/>
      <c r="E16" s="244"/>
      <c r="F16" s="244"/>
      <c r="G16" s="244"/>
      <c r="H16" s="244"/>
      <c r="I16" s="244"/>
      <c r="J16" s="244"/>
      <c r="K16" s="244"/>
      <c r="L16" s="244"/>
      <c r="M16" s="244"/>
      <c r="N16" s="244"/>
    </row>
    <row r="18" spans="2:3" ht="45">
      <c r="B18" s="302" t="s">
        <v>985</v>
      </c>
      <c r="C18" s="302" t="s">
        <v>1055</v>
      </c>
    </row>
    <row r="19" spans="2:3">
      <c r="B19" s="300" t="s">
        <v>989</v>
      </c>
      <c r="C19" s="301">
        <f>+'EVALUACIÓN DE RESULTADOS'!Y15</f>
        <v>0.9780075757575758</v>
      </c>
    </row>
    <row r="20" spans="2:3">
      <c r="B20" s="300" t="s">
        <v>987</v>
      </c>
      <c r="C20" s="301">
        <f>+'DIRECCIONAMIENTO ESTRATEGICO'!Y16</f>
        <v>0.95024935064935068</v>
      </c>
    </row>
    <row r="21" spans="2:3">
      <c r="B21" s="300" t="s">
        <v>986</v>
      </c>
      <c r="C21" s="301">
        <f>+'TALENTO HUMANO'!Y19</f>
        <v>0.9540426210153482</v>
      </c>
    </row>
    <row r="22" spans="2:3">
      <c r="B22" s="300" t="s">
        <v>63</v>
      </c>
      <c r="C22" s="301">
        <f>+'CONTROL INTERNO'!Y13</f>
        <v>0.92999999999999994</v>
      </c>
    </row>
    <row r="23" spans="2:3">
      <c r="B23" s="300" t="s">
        <v>988</v>
      </c>
      <c r="C23" s="301">
        <f>+'VALORES PARA RESULTADOS'!Y21</f>
        <v>0.93329417486338839</v>
      </c>
    </row>
    <row r="24" spans="2:3">
      <c r="B24" s="300" t="s">
        <v>990</v>
      </c>
      <c r="C24" s="301">
        <f>+'INFORMACIÓN Y COMUNICACIÓN'!Y19</f>
        <v>0.89460909090909069</v>
      </c>
    </row>
    <row r="25" spans="2:3">
      <c r="B25" s="300" t="s">
        <v>991</v>
      </c>
      <c r="C25" s="301">
        <f>+'GESTIÓN DEL CONOCIMIENTO'!Y11</f>
        <v>0.76818181818181819</v>
      </c>
    </row>
    <row r="26" spans="2:3" ht="31.5" customHeight="1">
      <c r="B26" s="302" t="s">
        <v>1058</v>
      </c>
      <c r="C26" s="305">
        <f>AVERAGE(C19:C25)</f>
        <v>0.91548351876808187</v>
      </c>
    </row>
    <row r="52" spans="5:5">
      <c r="E52" s="245"/>
    </row>
  </sheetData>
  <sortState ref="C15:M15">
    <sortCondition descending="1" ref="C7"/>
  </sortState>
  <mergeCells count="3">
    <mergeCell ref="B5:B6"/>
    <mergeCell ref="C5:N6"/>
    <mergeCell ref="O8:O14"/>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Y20"/>
  <sheetViews>
    <sheetView zoomScale="70" zoomScaleNormal="70" workbookViewId="0">
      <selection activeCell="P8" sqref="P8"/>
    </sheetView>
  </sheetViews>
  <sheetFormatPr baseColWidth="10" defaultColWidth="10.7109375" defaultRowHeight="12.75"/>
  <cols>
    <col min="1" max="1" width="19.7109375" customWidth="1"/>
    <col min="2" max="2" width="19.85546875" customWidth="1"/>
    <col min="3" max="3" width="19.5703125" style="14" customWidth="1"/>
    <col min="4" max="4" width="18" customWidth="1"/>
    <col min="5" max="5" width="25.140625" customWidth="1"/>
    <col min="6" max="6" width="17.5703125" customWidth="1"/>
    <col min="7" max="7" width="37" customWidth="1"/>
    <col min="8" max="8" width="14" hidden="1" customWidth="1"/>
    <col min="9" max="9" width="14.42578125" hidden="1" customWidth="1"/>
    <col min="10" max="11" width="15" hidden="1" customWidth="1"/>
    <col min="12" max="12" width="14.7109375" hidden="1" customWidth="1"/>
    <col min="13" max="13" width="19.140625" customWidth="1"/>
    <col min="14" max="14" width="11.7109375" customWidth="1"/>
    <col min="15" max="15" width="13.85546875" customWidth="1"/>
    <col min="16" max="16" width="13" customWidth="1"/>
    <col min="17" max="18" width="12.7109375" customWidth="1"/>
    <col min="19" max="19" width="12.42578125" customWidth="1"/>
    <col min="20" max="20" width="12.85546875" customWidth="1"/>
    <col min="21" max="21" width="12.7109375" customWidth="1"/>
    <col min="23" max="23" width="12.140625" customWidth="1"/>
    <col min="25" max="25" width="13.7109375" customWidth="1"/>
  </cols>
  <sheetData>
    <row r="1" spans="1:25" ht="28.5" customHeight="1">
      <c r="A1" s="13"/>
      <c r="B1" s="13"/>
      <c r="D1" s="13"/>
      <c r="E1" s="13"/>
      <c r="F1" s="13"/>
      <c r="G1" s="13"/>
      <c r="H1" s="13"/>
      <c r="I1" s="13"/>
      <c r="J1" s="13"/>
      <c r="K1" s="13"/>
      <c r="L1" s="13"/>
      <c r="M1" s="13"/>
      <c r="N1" s="13"/>
      <c r="O1" s="13"/>
    </row>
    <row r="2" spans="1:25" ht="24" customHeight="1">
      <c r="A2" s="13"/>
      <c r="B2" s="13"/>
      <c r="D2" s="13"/>
      <c r="E2" s="13"/>
      <c r="F2" s="13"/>
      <c r="G2" s="13"/>
      <c r="H2" s="13"/>
      <c r="I2" s="13"/>
      <c r="J2" s="13"/>
      <c r="K2" s="13"/>
      <c r="L2" s="13"/>
      <c r="M2" s="13"/>
      <c r="N2" s="13"/>
      <c r="O2" s="13"/>
    </row>
    <row r="3" spans="1:25" ht="12" customHeight="1">
      <c r="A3" s="13"/>
      <c r="B3" s="13"/>
      <c r="D3" s="13"/>
      <c r="E3" s="13"/>
      <c r="F3" s="13"/>
      <c r="G3" s="13"/>
      <c r="H3" s="13"/>
      <c r="I3" s="13"/>
      <c r="J3" s="13"/>
      <c r="K3" s="13"/>
      <c r="L3" s="13"/>
      <c r="M3" s="13"/>
      <c r="N3" s="13"/>
      <c r="O3" s="13"/>
    </row>
    <row r="4" spans="1:25" ht="33.75">
      <c r="A4" s="316" t="s">
        <v>512</v>
      </c>
      <c r="B4" s="316"/>
      <c r="C4" s="316"/>
      <c r="D4" s="316"/>
      <c r="E4" s="316"/>
      <c r="F4" s="316"/>
      <c r="G4" s="316"/>
      <c r="H4" s="316"/>
      <c r="I4" s="316"/>
      <c r="J4" s="316"/>
      <c r="K4" s="316"/>
      <c r="L4" s="316"/>
      <c r="M4" s="316"/>
      <c r="N4" s="316"/>
      <c r="O4" s="316"/>
      <c r="P4" s="316"/>
      <c r="Q4" s="316"/>
      <c r="R4" s="316"/>
      <c r="S4" s="316"/>
      <c r="T4" s="316"/>
      <c r="U4" s="316"/>
      <c r="V4" s="316"/>
      <c r="W4" s="316"/>
      <c r="X4" s="316"/>
      <c r="Y4" s="316"/>
    </row>
    <row r="5" spans="1:25" ht="28.5" customHeight="1">
      <c r="A5" s="327" t="s">
        <v>103</v>
      </c>
      <c r="B5" s="327" t="s">
        <v>74</v>
      </c>
      <c r="C5" s="326" t="s">
        <v>65</v>
      </c>
      <c r="D5" s="326" t="s">
        <v>66</v>
      </c>
      <c r="E5" s="326" t="s">
        <v>67</v>
      </c>
      <c r="F5" s="326" t="s">
        <v>68</v>
      </c>
      <c r="G5" s="326" t="s">
        <v>69</v>
      </c>
      <c r="H5" s="328" t="s">
        <v>70</v>
      </c>
      <c r="I5" s="328"/>
      <c r="J5" s="326" t="s">
        <v>79</v>
      </c>
      <c r="K5" s="326"/>
      <c r="L5" s="326"/>
      <c r="M5" s="326"/>
      <c r="N5" s="317" t="s">
        <v>558</v>
      </c>
      <c r="O5" s="317"/>
      <c r="P5" s="317"/>
      <c r="Q5" s="317"/>
      <c r="R5" s="317"/>
      <c r="S5" s="317"/>
      <c r="T5" s="317"/>
      <c r="U5" s="317"/>
      <c r="V5" s="317"/>
      <c r="W5" s="317"/>
      <c r="X5" s="317"/>
      <c r="Y5" s="317"/>
    </row>
    <row r="6" spans="1:25" ht="21" customHeight="1">
      <c r="A6" s="327"/>
      <c r="B6" s="327"/>
      <c r="C6" s="326"/>
      <c r="D6" s="326"/>
      <c r="E6" s="326"/>
      <c r="F6" s="326"/>
      <c r="G6" s="326"/>
      <c r="H6" s="326" t="s">
        <v>71</v>
      </c>
      <c r="I6" s="326" t="s">
        <v>72</v>
      </c>
      <c r="J6" s="116" t="s">
        <v>75</v>
      </c>
      <c r="K6" s="116" t="s">
        <v>76</v>
      </c>
      <c r="L6" s="116" t="s">
        <v>77</v>
      </c>
      <c r="M6" s="116" t="s">
        <v>78</v>
      </c>
      <c r="N6" s="317"/>
      <c r="O6" s="317"/>
      <c r="P6" s="317"/>
      <c r="Q6" s="317"/>
      <c r="R6" s="317"/>
      <c r="S6" s="317"/>
      <c r="T6" s="317"/>
      <c r="U6" s="317"/>
      <c r="V6" s="317"/>
      <c r="W6" s="317"/>
      <c r="X6" s="317"/>
      <c r="Y6" s="317"/>
    </row>
    <row r="7" spans="1:25" ht="42.75" customHeight="1">
      <c r="A7" s="327"/>
      <c r="B7" s="327"/>
      <c r="C7" s="326"/>
      <c r="D7" s="326"/>
      <c r="E7" s="326"/>
      <c r="F7" s="326"/>
      <c r="G7" s="326"/>
      <c r="H7" s="326"/>
      <c r="I7" s="326"/>
      <c r="J7" s="117" t="s">
        <v>64</v>
      </c>
      <c r="K7" s="117" t="s">
        <v>64</v>
      </c>
      <c r="L7" s="117" t="s">
        <v>64</v>
      </c>
      <c r="M7" s="117" t="s">
        <v>64</v>
      </c>
      <c r="N7" s="184" t="s">
        <v>198</v>
      </c>
      <c r="O7" s="184" t="s">
        <v>349</v>
      </c>
      <c r="P7" s="184" t="s">
        <v>283</v>
      </c>
      <c r="Q7" s="184" t="s">
        <v>371</v>
      </c>
      <c r="R7" s="184" t="s">
        <v>380</v>
      </c>
      <c r="S7" s="184" t="s">
        <v>391</v>
      </c>
      <c r="T7" s="184" t="s">
        <v>487</v>
      </c>
      <c r="U7" s="184" t="s">
        <v>392</v>
      </c>
      <c r="V7" s="184" t="s">
        <v>555</v>
      </c>
      <c r="W7" s="184" t="s">
        <v>397</v>
      </c>
      <c r="X7" s="184" t="s">
        <v>556</v>
      </c>
      <c r="Y7" s="184" t="s">
        <v>557</v>
      </c>
    </row>
    <row r="8" spans="1:25" ht="66.75" customHeight="1">
      <c r="A8" s="319" t="s">
        <v>60</v>
      </c>
      <c r="B8" s="318" t="s">
        <v>89</v>
      </c>
      <c r="C8" s="323" t="s">
        <v>166</v>
      </c>
      <c r="D8" s="321">
        <v>0.2</v>
      </c>
      <c r="E8" s="95" t="s">
        <v>182</v>
      </c>
      <c r="F8" s="95">
        <v>1</v>
      </c>
      <c r="G8" s="320" t="s">
        <v>167</v>
      </c>
      <c r="H8" s="95" t="s">
        <v>168</v>
      </c>
      <c r="I8" s="17" t="s">
        <v>169</v>
      </c>
      <c r="J8" s="24">
        <v>1</v>
      </c>
      <c r="K8" s="24">
        <v>1</v>
      </c>
      <c r="L8" s="24">
        <v>1</v>
      </c>
      <c r="M8" s="24">
        <v>1</v>
      </c>
      <c r="N8" s="120">
        <v>1</v>
      </c>
      <c r="O8" s="119">
        <v>1</v>
      </c>
      <c r="P8" s="119">
        <v>1</v>
      </c>
      <c r="Q8" s="119">
        <v>1</v>
      </c>
      <c r="R8" s="119">
        <v>1</v>
      </c>
      <c r="S8" s="119">
        <v>1</v>
      </c>
      <c r="T8" s="120">
        <v>1</v>
      </c>
      <c r="U8" s="119">
        <v>1</v>
      </c>
      <c r="V8" s="120">
        <v>1</v>
      </c>
      <c r="W8" s="120">
        <v>1</v>
      </c>
      <c r="X8" s="120">
        <v>1</v>
      </c>
      <c r="Y8" s="227">
        <f>+AVERAGE(N8:X8)</f>
        <v>1</v>
      </c>
    </row>
    <row r="9" spans="1:25" ht="65.25" customHeight="1">
      <c r="A9" s="319"/>
      <c r="B9" s="318"/>
      <c r="C9" s="323"/>
      <c r="D9" s="321"/>
      <c r="E9" s="95" t="s">
        <v>105</v>
      </c>
      <c r="F9" s="93">
        <v>1</v>
      </c>
      <c r="G9" s="320"/>
      <c r="H9" s="95" t="s">
        <v>168</v>
      </c>
      <c r="I9" s="17">
        <v>43465</v>
      </c>
      <c r="J9" s="24">
        <v>0.25</v>
      </c>
      <c r="K9" s="24">
        <v>0.5</v>
      </c>
      <c r="L9" s="24">
        <v>0.75</v>
      </c>
      <c r="M9" s="24">
        <v>1</v>
      </c>
      <c r="N9" s="120">
        <v>1</v>
      </c>
      <c r="O9" s="119">
        <v>1</v>
      </c>
      <c r="P9" s="119">
        <v>1</v>
      </c>
      <c r="Q9" s="119">
        <v>1</v>
      </c>
      <c r="R9" s="119">
        <v>1</v>
      </c>
      <c r="S9" s="119">
        <v>0.64</v>
      </c>
      <c r="T9" s="120">
        <v>0.9</v>
      </c>
      <c r="U9" s="119">
        <v>1</v>
      </c>
      <c r="V9" s="120">
        <f>10.5/11</f>
        <v>0.95454545454545459</v>
      </c>
      <c r="W9" s="120">
        <v>1</v>
      </c>
      <c r="X9" s="120">
        <v>1</v>
      </c>
      <c r="Y9" s="227">
        <f t="shared" ref="Y9:Y17" si="0">+AVERAGE(N9:X9)</f>
        <v>0.95404958677685947</v>
      </c>
    </row>
    <row r="10" spans="1:25" ht="31.5" customHeight="1">
      <c r="A10" s="319"/>
      <c r="B10" s="318"/>
      <c r="C10" s="325" t="s">
        <v>170</v>
      </c>
      <c r="D10" s="321">
        <v>0.2</v>
      </c>
      <c r="E10" s="95" t="s">
        <v>105</v>
      </c>
      <c r="F10" s="95" t="s">
        <v>171</v>
      </c>
      <c r="G10" s="320" t="s">
        <v>172</v>
      </c>
      <c r="H10" s="94">
        <v>43101</v>
      </c>
      <c r="I10" s="17">
        <v>43190</v>
      </c>
      <c r="J10" s="24">
        <v>1</v>
      </c>
      <c r="K10" s="24">
        <v>1</v>
      </c>
      <c r="L10" s="24">
        <v>1</v>
      </c>
      <c r="M10" s="24">
        <v>1</v>
      </c>
      <c r="N10" s="120">
        <v>0.95</v>
      </c>
      <c r="O10" s="119">
        <v>1</v>
      </c>
      <c r="P10" s="119">
        <v>1</v>
      </c>
      <c r="Q10" s="119">
        <v>1</v>
      </c>
      <c r="R10" s="120">
        <v>1</v>
      </c>
      <c r="S10" s="119">
        <v>1</v>
      </c>
      <c r="T10" s="120">
        <v>1</v>
      </c>
      <c r="U10" s="119">
        <v>1</v>
      </c>
      <c r="V10" s="120">
        <f>53/53</f>
        <v>1</v>
      </c>
      <c r="W10" s="120">
        <v>1</v>
      </c>
      <c r="X10" s="120">
        <v>1</v>
      </c>
      <c r="Y10" s="227">
        <f t="shared" si="0"/>
        <v>0.99545454545454537</v>
      </c>
    </row>
    <row r="11" spans="1:25" ht="124.5" customHeight="1">
      <c r="A11" s="319"/>
      <c r="B11" s="318"/>
      <c r="C11" s="325"/>
      <c r="D11" s="321"/>
      <c r="E11" s="95" t="s">
        <v>105</v>
      </c>
      <c r="F11" s="95" t="s">
        <v>173</v>
      </c>
      <c r="G11" s="320"/>
      <c r="H11" s="94">
        <v>43101</v>
      </c>
      <c r="I11" s="17">
        <v>43465</v>
      </c>
      <c r="J11" s="24">
        <v>0.25</v>
      </c>
      <c r="K11" s="24">
        <v>0.5</v>
      </c>
      <c r="L11" s="24">
        <v>0.75</v>
      </c>
      <c r="M11" s="24">
        <v>1</v>
      </c>
      <c r="N11" s="119">
        <v>1</v>
      </c>
      <c r="O11" s="119">
        <v>0.82</v>
      </c>
      <c r="P11" s="119">
        <v>1</v>
      </c>
      <c r="Q11" s="120">
        <v>0.75</v>
      </c>
      <c r="R11" s="119">
        <v>1</v>
      </c>
      <c r="S11" s="119">
        <v>1</v>
      </c>
      <c r="T11" s="120">
        <v>1</v>
      </c>
      <c r="U11" s="119">
        <v>1</v>
      </c>
      <c r="V11" s="120">
        <v>1</v>
      </c>
      <c r="W11" s="120">
        <v>1</v>
      </c>
      <c r="X11" s="120">
        <v>1</v>
      </c>
      <c r="Y11" s="227">
        <f t="shared" si="0"/>
        <v>0.96090909090909093</v>
      </c>
    </row>
    <row r="12" spans="1:25" ht="100.5" customHeight="1">
      <c r="A12" s="319"/>
      <c r="B12" s="318"/>
      <c r="C12" s="93" t="s">
        <v>174</v>
      </c>
      <c r="D12" s="90">
        <v>0.2</v>
      </c>
      <c r="E12" s="95" t="s">
        <v>105</v>
      </c>
      <c r="F12" s="95">
        <v>100</v>
      </c>
      <c r="G12" s="96" t="s">
        <v>175</v>
      </c>
      <c r="H12" s="94">
        <v>43101</v>
      </c>
      <c r="I12" s="17">
        <v>43465</v>
      </c>
      <c r="J12" s="24">
        <v>0.25</v>
      </c>
      <c r="K12" s="24">
        <v>0.5</v>
      </c>
      <c r="L12" s="24">
        <v>0.75</v>
      </c>
      <c r="M12" s="24">
        <v>1</v>
      </c>
      <c r="N12" s="119">
        <v>1</v>
      </c>
      <c r="O12" s="119">
        <v>1</v>
      </c>
      <c r="P12" s="119">
        <v>0.97299999999999998</v>
      </c>
      <c r="Q12" s="119">
        <v>1</v>
      </c>
      <c r="R12" s="119">
        <v>1</v>
      </c>
      <c r="S12" s="119">
        <v>0.81</v>
      </c>
      <c r="T12" s="120">
        <v>0.9</v>
      </c>
      <c r="U12" s="119">
        <v>1</v>
      </c>
      <c r="V12" s="120">
        <f>76/80</f>
        <v>0.95</v>
      </c>
      <c r="W12" s="120">
        <v>1</v>
      </c>
      <c r="X12" s="120">
        <v>0.85</v>
      </c>
      <c r="Y12" s="227">
        <f t="shared" si="0"/>
        <v>0.95299999999999985</v>
      </c>
    </row>
    <row r="13" spans="1:25" ht="165.75" customHeight="1">
      <c r="A13" s="319"/>
      <c r="B13" s="318"/>
      <c r="C13" s="93" t="s">
        <v>176</v>
      </c>
      <c r="D13" s="90">
        <v>0.1</v>
      </c>
      <c r="E13" s="95" t="s">
        <v>105</v>
      </c>
      <c r="F13" s="95">
        <v>100</v>
      </c>
      <c r="G13" s="96" t="s">
        <v>177</v>
      </c>
      <c r="H13" s="94">
        <v>43101</v>
      </c>
      <c r="I13" s="17">
        <v>43465</v>
      </c>
      <c r="J13" s="24">
        <v>0.25</v>
      </c>
      <c r="K13" s="24">
        <v>0.5</v>
      </c>
      <c r="L13" s="24">
        <v>0.75</v>
      </c>
      <c r="M13" s="24">
        <v>1</v>
      </c>
      <c r="N13" s="119">
        <v>1</v>
      </c>
      <c r="O13" s="119">
        <v>1</v>
      </c>
      <c r="P13" s="119">
        <v>1</v>
      </c>
      <c r="Q13" s="119">
        <v>1</v>
      </c>
      <c r="R13" s="119">
        <v>0.95</v>
      </c>
      <c r="S13" s="119">
        <v>0.66</v>
      </c>
      <c r="T13" s="120">
        <v>0.8</v>
      </c>
      <c r="U13" s="119">
        <v>1</v>
      </c>
      <c r="V13" s="120">
        <f>38/50</f>
        <v>0.76</v>
      </c>
      <c r="W13" s="120">
        <v>1</v>
      </c>
      <c r="X13" s="120">
        <v>1</v>
      </c>
      <c r="Y13" s="227">
        <f t="shared" si="0"/>
        <v>0.92454545454545456</v>
      </c>
    </row>
    <row r="14" spans="1:25" ht="276.75" customHeight="1">
      <c r="A14" s="319"/>
      <c r="B14" s="318"/>
      <c r="C14" s="92" t="s">
        <v>189</v>
      </c>
      <c r="D14" s="90">
        <v>0.1</v>
      </c>
      <c r="E14" s="95" t="s">
        <v>105</v>
      </c>
      <c r="F14" s="93">
        <v>0.8</v>
      </c>
      <c r="G14" s="96" t="s">
        <v>178</v>
      </c>
      <c r="H14" s="95" t="s">
        <v>168</v>
      </c>
      <c r="I14" s="17">
        <v>43465</v>
      </c>
      <c r="J14" s="24">
        <v>0.25</v>
      </c>
      <c r="K14" s="24">
        <v>0.5</v>
      </c>
      <c r="L14" s="24">
        <v>0.75</v>
      </c>
      <c r="M14" s="24">
        <v>1</v>
      </c>
      <c r="N14" s="119">
        <v>1</v>
      </c>
      <c r="O14" s="119">
        <v>1</v>
      </c>
      <c r="P14" s="119">
        <v>1</v>
      </c>
      <c r="Q14" s="119">
        <v>1</v>
      </c>
      <c r="R14" s="119">
        <v>1</v>
      </c>
      <c r="S14" s="119">
        <v>0.67</v>
      </c>
      <c r="T14" s="120">
        <v>0.8</v>
      </c>
      <c r="U14" s="119">
        <v>1</v>
      </c>
      <c r="V14" s="120">
        <f>6/7</f>
        <v>0.8571428571428571</v>
      </c>
      <c r="W14" s="120">
        <v>1</v>
      </c>
      <c r="X14" s="120">
        <v>0.95</v>
      </c>
      <c r="Y14" s="227">
        <f t="shared" si="0"/>
        <v>0.93428571428571416</v>
      </c>
    </row>
    <row r="15" spans="1:25" ht="172.5" customHeight="1">
      <c r="A15" s="319"/>
      <c r="B15" s="318"/>
      <c r="C15" s="91" t="s">
        <v>179</v>
      </c>
      <c r="D15" s="90">
        <v>0.1</v>
      </c>
      <c r="E15" s="95" t="s">
        <v>105</v>
      </c>
      <c r="F15" s="93">
        <v>0.9</v>
      </c>
      <c r="G15" s="96" t="s">
        <v>183</v>
      </c>
      <c r="H15" s="95" t="s">
        <v>168</v>
      </c>
      <c r="I15" s="17">
        <v>43465</v>
      </c>
      <c r="J15" s="24">
        <v>0.25</v>
      </c>
      <c r="K15" s="24">
        <v>0.5</v>
      </c>
      <c r="L15" s="24">
        <v>0.75</v>
      </c>
      <c r="M15" s="24">
        <v>1</v>
      </c>
      <c r="N15" s="119">
        <v>1</v>
      </c>
      <c r="O15" s="119">
        <v>1</v>
      </c>
      <c r="P15" s="119">
        <v>1</v>
      </c>
      <c r="Q15" s="119">
        <v>1</v>
      </c>
      <c r="R15" s="119">
        <v>0.95</v>
      </c>
      <c r="S15" s="119">
        <v>0.59</v>
      </c>
      <c r="T15" s="120">
        <v>1</v>
      </c>
      <c r="U15" s="119">
        <v>1</v>
      </c>
      <c r="V15" s="120">
        <f>30/30</f>
        <v>1</v>
      </c>
      <c r="W15" s="120">
        <v>1</v>
      </c>
      <c r="X15" s="120">
        <v>0.95</v>
      </c>
      <c r="Y15" s="227">
        <f t="shared" si="0"/>
        <v>0.9536363636363635</v>
      </c>
    </row>
    <row r="16" spans="1:25" ht="35.25" customHeight="1">
      <c r="A16" s="319"/>
      <c r="B16" s="318" t="s">
        <v>90</v>
      </c>
      <c r="C16" s="324" t="s">
        <v>180</v>
      </c>
      <c r="D16" s="321">
        <v>0.1</v>
      </c>
      <c r="E16" s="95" t="s">
        <v>182</v>
      </c>
      <c r="F16" s="95">
        <v>1</v>
      </c>
      <c r="G16" s="322" t="s">
        <v>181</v>
      </c>
      <c r="H16" s="95" t="s">
        <v>168</v>
      </c>
      <c r="I16" s="17" t="s">
        <v>169</v>
      </c>
      <c r="J16" s="24">
        <v>1</v>
      </c>
      <c r="K16" s="24">
        <v>1</v>
      </c>
      <c r="L16" s="24">
        <v>1</v>
      </c>
      <c r="M16" s="24">
        <v>1</v>
      </c>
      <c r="N16" s="119">
        <v>1</v>
      </c>
      <c r="O16" s="119">
        <v>1</v>
      </c>
      <c r="P16" s="119">
        <v>1</v>
      </c>
      <c r="Q16" s="119">
        <v>1</v>
      </c>
      <c r="R16" s="119">
        <v>1</v>
      </c>
      <c r="S16" s="119">
        <v>1</v>
      </c>
      <c r="T16" s="120">
        <v>1</v>
      </c>
      <c r="U16" s="119">
        <v>1</v>
      </c>
      <c r="V16" s="120">
        <f>5/5</f>
        <v>1</v>
      </c>
      <c r="W16" s="120">
        <v>1</v>
      </c>
      <c r="X16" s="120">
        <v>1</v>
      </c>
      <c r="Y16" s="227">
        <f t="shared" si="0"/>
        <v>1</v>
      </c>
    </row>
    <row r="17" spans="1:25" ht="35.25" customHeight="1">
      <c r="A17" s="319"/>
      <c r="B17" s="318"/>
      <c r="C17" s="324"/>
      <c r="D17" s="321"/>
      <c r="E17" s="95" t="s">
        <v>105</v>
      </c>
      <c r="F17" s="93">
        <v>1</v>
      </c>
      <c r="G17" s="322"/>
      <c r="H17" s="95" t="s">
        <v>168</v>
      </c>
      <c r="I17" s="17">
        <v>43465</v>
      </c>
      <c r="J17" s="24">
        <v>0.25</v>
      </c>
      <c r="K17" s="24">
        <v>0.5</v>
      </c>
      <c r="L17" s="24">
        <v>0.75</v>
      </c>
      <c r="M17" s="24">
        <v>1</v>
      </c>
      <c r="N17" s="119">
        <v>0.61</v>
      </c>
      <c r="O17" s="119">
        <v>1</v>
      </c>
      <c r="P17" s="119">
        <v>1</v>
      </c>
      <c r="Q17" s="119">
        <v>0.8</v>
      </c>
      <c r="R17" s="119">
        <v>1</v>
      </c>
      <c r="S17" s="119">
        <v>1</v>
      </c>
      <c r="T17" s="120">
        <v>0.6</v>
      </c>
      <c r="U17" s="119">
        <v>0.5</v>
      </c>
      <c r="V17" s="120">
        <f>3/3</f>
        <v>1</v>
      </c>
      <c r="W17" s="120">
        <v>1</v>
      </c>
      <c r="X17" s="120">
        <v>1</v>
      </c>
      <c r="Y17" s="227">
        <f t="shared" si="0"/>
        <v>0.86454545454545451</v>
      </c>
    </row>
    <row r="19" spans="1:25" ht="36" customHeight="1">
      <c r="G19" s="229" t="s">
        <v>977</v>
      </c>
      <c r="N19" s="241">
        <f>+AVERAGE(N8:N17)</f>
        <v>0.95599999999999985</v>
      </c>
      <c r="O19" s="241">
        <f t="shared" ref="O19:X19" si="1">+AVERAGE(O8:O17)</f>
        <v>0.98199999999999998</v>
      </c>
      <c r="P19" s="241">
        <f t="shared" si="1"/>
        <v>0.99729999999999985</v>
      </c>
      <c r="Q19" s="241">
        <f t="shared" si="1"/>
        <v>0.95500000000000007</v>
      </c>
      <c r="R19" s="241">
        <f t="shared" si="1"/>
        <v>0.99</v>
      </c>
      <c r="S19" s="241">
        <f t="shared" si="1"/>
        <v>0.83700000000000008</v>
      </c>
      <c r="T19" s="241">
        <f t="shared" si="1"/>
        <v>0.8999999999999998</v>
      </c>
      <c r="U19" s="241">
        <f t="shared" si="1"/>
        <v>0.95</v>
      </c>
      <c r="V19" s="241">
        <f t="shared" si="1"/>
        <v>0.95216883116883122</v>
      </c>
      <c r="W19" s="241">
        <f t="shared" si="1"/>
        <v>1</v>
      </c>
      <c r="X19" s="241">
        <f t="shared" si="1"/>
        <v>0.97499999999999998</v>
      </c>
      <c r="Y19" s="279">
        <f>AVERAGE(Y8:Y17)</f>
        <v>0.9540426210153482</v>
      </c>
    </row>
    <row r="20" spans="1:25" ht="43.5" customHeight="1">
      <c r="G20" s="229" t="s">
        <v>978</v>
      </c>
      <c r="L20" s="241">
        <f>+AVERAGE(L8:L17)</f>
        <v>0.82499999999999996</v>
      </c>
      <c r="M20" s="227">
        <f>AVERAGE(M8:M17)</f>
        <v>1</v>
      </c>
    </row>
  </sheetData>
  <mergeCells count="25">
    <mergeCell ref="I6:I7"/>
    <mergeCell ref="A5:A7"/>
    <mergeCell ref="B5:B7"/>
    <mergeCell ref="C5:C7"/>
    <mergeCell ref="D5:D7"/>
    <mergeCell ref="E5:E7"/>
    <mergeCell ref="F5:F7"/>
    <mergeCell ref="G5:G7"/>
    <mergeCell ref="H5:I5"/>
    <mergeCell ref="A4:Y4"/>
    <mergeCell ref="N5:Y6"/>
    <mergeCell ref="B8:B15"/>
    <mergeCell ref="A8:A17"/>
    <mergeCell ref="G10:G11"/>
    <mergeCell ref="D16:D17"/>
    <mergeCell ref="G16:G17"/>
    <mergeCell ref="C8:C9"/>
    <mergeCell ref="D8:D9"/>
    <mergeCell ref="G8:G9"/>
    <mergeCell ref="B16:B17"/>
    <mergeCell ref="C16:C17"/>
    <mergeCell ref="C10:C11"/>
    <mergeCell ref="D10:D11"/>
    <mergeCell ref="J5:M5"/>
    <mergeCell ref="H6:H7"/>
  </mergeCells>
  <pageMargins left="0.7" right="0.7" top="0.75" bottom="0.75" header="0.3" footer="0.3"/>
  <pageSetup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80"/>
  </sheetPr>
  <dimension ref="A1:Y270"/>
  <sheetViews>
    <sheetView zoomScale="60" zoomScaleNormal="60" workbookViewId="0">
      <selection activeCell="P14" sqref="P14"/>
    </sheetView>
  </sheetViews>
  <sheetFormatPr baseColWidth="10" defaultColWidth="10.7109375" defaultRowHeight="12.75"/>
  <cols>
    <col min="1" max="1" width="18.28515625" style="51" customWidth="1"/>
    <col min="2" max="2" width="24.140625" style="51" customWidth="1"/>
    <col min="3" max="3" width="17.28515625" style="51" customWidth="1"/>
    <col min="4" max="4" width="17.7109375" style="51" customWidth="1"/>
    <col min="5" max="5" width="14.42578125" style="51" customWidth="1"/>
    <col min="6" max="6" width="15.5703125" style="68" customWidth="1"/>
    <col min="7" max="7" width="35.85546875" style="51" customWidth="1"/>
    <col min="8" max="9" width="15.85546875" style="51" hidden="1" customWidth="1"/>
    <col min="10" max="10" width="16.42578125" style="123" hidden="1" customWidth="1"/>
    <col min="11" max="11" width="19.5703125" style="51" hidden="1" customWidth="1"/>
    <col min="12" max="12" width="24.85546875" style="51" hidden="1" customWidth="1"/>
    <col min="13" max="13" width="30.7109375" style="51" customWidth="1"/>
    <col min="14" max="14" width="12.28515625" style="51" customWidth="1"/>
    <col min="15" max="15" width="30.7109375" style="51" customWidth="1"/>
    <col min="16" max="16" width="12.42578125" style="51" customWidth="1"/>
    <col min="17" max="17" width="24.85546875" style="51" customWidth="1"/>
    <col min="18" max="18" width="13" style="51" customWidth="1"/>
    <col min="19" max="19" width="22.42578125" style="51" customWidth="1"/>
    <col min="20" max="20" width="16.42578125" style="51" customWidth="1"/>
    <col min="21" max="21" width="42.85546875" style="51" customWidth="1"/>
    <col min="22" max="23" width="13.85546875" style="51" customWidth="1"/>
    <col min="24" max="24" width="13.5703125" style="51" customWidth="1"/>
    <col min="25" max="25" width="13.28515625" style="51" customWidth="1"/>
    <col min="26" max="16384" width="10.7109375" style="51"/>
  </cols>
  <sheetData>
    <row r="1" spans="1:25" ht="33.75" customHeight="1"/>
    <row r="2" spans="1:25" ht="33.75" customHeight="1"/>
    <row r="4" spans="1:25" ht="33.75">
      <c r="A4" s="337" t="s">
        <v>512</v>
      </c>
      <c r="B4" s="338"/>
      <c r="C4" s="338"/>
      <c r="D4" s="338"/>
      <c r="E4" s="338"/>
      <c r="F4" s="338"/>
      <c r="G4" s="338"/>
      <c r="H4" s="338"/>
      <c r="I4" s="338"/>
      <c r="J4" s="338"/>
      <c r="K4" s="338"/>
      <c r="L4" s="338"/>
      <c r="M4" s="338"/>
      <c r="N4" s="338"/>
      <c r="O4" s="338"/>
      <c r="P4" s="338"/>
      <c r="Q4" s="338"/>
      <c r="R4" s="338"/>
      <c r="S4" s="338"/>
      <c r="T4" s="338"/>
      <c r="U4" s="338"/>
      <c r="V4" s="338"/>
      <c r="W4" s="338"/>
      <c r="X4" s="338"/>
      <c r="Y4" s="338"/>
    </row>
    <row r="5" spans="1:25" ht="18.75">
      <c r="A5" s="339" t="s">
        <v>103</v>
      </c>
      <c r="B5" s="339" t="s">
        <v>74</v>
      </c>
      <c r="C5" s="339" t="s">
        <v>65</v>
      </c>
      <c r="D5" s="339" t="s">
        <v>66</v>
      </c>
      <c r="E5" s="339" t="s">
        <v>67</v>
      </c>
      <c r="F5" s="339" t="s">
        <v>68</v>
      </c>
      <c r="G5" s="339" t="s">
        <v>69</v>
      </c>
      <c r="H5" s="341" t="s">
        <v>70</v>
      </c>
      <c r="I5" s="341"/>
      <c r="J5" s="341" t="s">
        <v>79</v>
      </c>
      <c r="K5" s="341"/>
      <c r="L5" s="341"/>
      <c r="M5" s="341"/>
      <c r="N5" s="317" t="s">
        <v>558</v>
      </c>
      <c r="O5" s="317"/>
      <c r="P5" s="317"/>
      <c r="Q5" s="317"/>
      <c r="R5" s="317"/>
      <c r="S5" s="317"/>
      <c r="T5" s="317"/>
      <c r="U5" s="317"/>
      <c r="V5" s="317"/>
      <c r="W5" s="317"/>
      <c r="X5" s="317"/>
      <c r="Y5" s="317"/>
    </row>
    <row r="6" spans="1:25" ht="15.75">
      <c r="A6" s="339"/>
      <c r="B6" s="339"/>
      <c r="C6" s="339"/>
      <c r="D6" s="339"/>
      <c r="E6" s="339"/>
      <c r="F6" s="339"/>
      <c r="G6" s="339"/>
      <c r="H6" s="332" t="s">
        <v>71</v>
      </c>
      <c r="I6" s="332" t="s">
        <v>72</v>
      </c>
      <c r="J6" s="15" t="s">
        <v>75</v>
      </c>
      <c r="K6" s="15" t="s">
        <v>76</v>
      </c>
      <c r="L6" s="15" t="s">
        <v>77</v>
      </c>
      <c r="M6" s="15" t="s">
        <v>78</v>
      </c>
      <c r="N6" s="317"/>
      <c r="O6" s="317"/>
      <c r="P6" s="317"/>
      <c r="Q6" s="317"/>
      <c r="R6" s="317"/>
      <c r="S6" s="317"/>
      <c r="T6" s="317"/>
      <c r="U6" s="317"/>
      <c r="V6" s="317"/>
      <c r="W6" s="317"/>
      <c r="X6" s="317"/>
      <c r="Y6" s="317"/>
    </row>
    <row r="7" spans="1:25" ht="78" customHeight="1">
      <c r="A7" s="339"/>
      <c r="B7" s="339"/>
      <c r="C7" s="339"/>
      <c r="D7" s="339"/>
      <c r="E7" s="339"/>
      <c r="F7" s="339"/>
      <c r="G7" s="339"/>
      <c r="H7" s="332"/>
      <c r="I7" s="332"/>
      <c r="J7" s="101" t="s">
        <v>64</v>
      </c>
      <c r="K7" s="55" t="s">
        <v>64</v>
      </c>
      <c r="L7" s="55" t="s">
        <v>64</v>
      </c>
      <c r="M7" s="55" t="s">
        <v>64</v>
      </c>
      <c r="N7" s="184" t="s">
        <v>198</v>
      </c>
      <c r="O7" s="184" t="s">
        <v>349</v>
      </c>
      <c r="P7" s="184" t="s">
        <v>283</v>
      </c>
      <c r="Q7" s="184" t="s">
        <v>371</v>
      </c>
      <c r="R7" s="184" t="s">
        <v>380</v>
      </c>
      <c r="S7" s="184" t="s">
        <v>391</v>
      </c>
      <c r="T7" s="184" t="s">
        <v>487</v>
      </c>
      <c r="U7" s="184" t="s">
        <v>392</v>
      </c>
      <c r="V7" s="184" t="s">
        <v>555</v>
      </c>
      <c r="W7" s="184" t="s">
        <v>397</v>
      </c>
      <c r="X7" s="184" t="s">
        <v>556</v>
      </c>
      <c r="Y7" s="184" t="s">
        <v>557</v>
      </c>
    </row>
    <row r="8" spans="1:25" ht="172.5" customHeight="1">
      <c r="A8" s="319" t="s">
        <v>16</v>
      </c>
      <c r="B8" s="318" t="s">
        <v>80</v>
      </c>
      <c r="C8" s="70" t="s">
        <v>104</v>
      </c>
      <c r="D8" s="71">
        <v>0.25</v>
      </c>
      <c r="E8" s="16" t="s">
        <v>105</v>
      </c>
      <c r="F8" s="16">
        <v>100</v>
      </c>
      <c r="G8" s="9" t="s">
        <v>119</v>
      </c>
      <c r="H8" s="23">
        <v>43101</v>
      </c>
      <c r="I8" s="17" t="s">
        <v>106</v>
      </c>
      <c r="J8" s="114">
        <v>0.15</v>
      </c>
      <c r="K8" s="21">
        <v>0.3</v>
      </c>
      <c r="L8" s="21">
        <v>0.7</v>
      </c>
      <c r="M8" s="21">
        <v>1</v>
      </c>
      <c r="N8" s="293">
        <v>0.97909999999999997</v>
      </c>
      <c r="O8" s="32">
        <v>1</v>
      </c>
      <c r="P8" s="32">
        <v>0.98</v>
      </c>
      <c r="Q8" s="32">
        <v>0.75</v>
      </c>
      <c r="R8" s="249">
        <v>1</v>
      </c>
      <c r="S8" s="291">
        <v>0.86</v>
      </c>
      <c r="T8" s="249">
        <v>0.88</v>
      </c>
      <c r="U8" s="272">
        <v>1</v>
      </c>
      <c r="V8" s="187">
        <v>1</v>
      </c>
      <c r="W8" s="187">
        <v>1</v>
      </c>
      <c r="X8" s="187">
        <v>1</v>
      </c>
      <c r="Y8" s="231">
        <f>+AVERAGE(N8:X8)</f>
        <v>0.94991818181818177</v>
      </c>
    </row>
    <row r="9" spans="1:25" ht="114.75" customHeight="1">
      <c r="A9" s="319"/>
      <c r="B9" s="318"/>
      <c r="C9" s="70" t="s">
        <v>111</v>
      </c>
      <c r="D9" s="71">
        <v>2.5000000000000001E-2</v>
      </c>
      <c r="E9" s="16" t="s">
        <v>112</v>
      </c>
      <c r="F9" s="16">
        <v>1</v>
      </c>
      <c r="G9" s="9" t="s">
        <v>107</v>
      </c>
      <c r="H9" s="23">
        <v>43191</v>
      </c>
      <c r="I9" s="17" t="s">
        <v>106</v>
      </c>
      <c r="J9" s="114">
        <v>0</v>
      </c>
      <c r="K9" s="21">
        <v>0.3</v>
      </c>
      <c r="L9" s="21">
        <v>0.6</v>
      </c>
      <c r="M9" s="21">
        <v>1</v>
      </c>
      <c r="N9" s="292">
        <v>1</v>
      </c>
      <c r="O9" s="249">
        <v>1</v>
      </c>
      <c r="P9" s="277">
        <v>1</v>
      </c>
      <c r="Q9" s="277">
        <v>1</v>
      </c>
      <c r="R9" s="249">
        <v>1</v>
      </c>
      <c r="S9" s="291">
        <v>0</v>
      </c>
      <c r="T9" s="249">
        <v>1</v>
      </c>
      <c r="U9" s="272">
        <v>1</v>
      </c>
      <c r="V9" s="282">
        <v>1</v>
      </c>
      <c r="W9" s="187">
        <v>1</v>
      </c>
      <c r="X9" s="187">
        <v>1</v>
      </c>
      <c r="Y9" s="231">
        <f t="shared" ref="Y9:Y14" si="0">+AVERAGE(N9:X9)</f>
        <v>0.90909090909090906</v>
      </c>
    </row>
    <row r="10" spans="1:25" ht="108.75" customHeight="1">
      <c r="A10" s="319"/>
      <c r="B10" s="318"/>
      <c r="C10" s="70" t="s">
        <v>113</v>
      </c>
      <c r="D10" s="71">
        <v>0.05</v>
      </c>
      <c r="E10" s="16" t="s">
        <v>112</v>
      </c>
      <c r="F10" s="16">
        <v>1</v>
      </c>
      <c r="G10" s="9" t="s">
        <v>108</v>
      </c>
      <c r="H10" s="23">
        <v>43191</v>
      </c>
      <c r="I10" s="17" t="s">
        <v>114</v>
      </c>
      <c r="J10" s="114">
        <v>0</v>
      </c>
      <c r="K10" s="21">
        <v>0.5</v>
      </c>
      <c r="L10" s="21">
        <v>1</v>
      </c>
      <c r="M10" s="21">
        <v>1</v>
      </c>
      <c r="N10" s="292">
        <v>1</v>
      </c>
      <c r="O10" s="249">
        <v>1</v>
      </c>
      <c r="P10" s="277">
        <v>1</v>
      </c>
      <c r="Q10" s="277">
        <v>1</v>
      </c>
      <c r="R10" s="249">
        <v>1</v>
      </c>
      <c r="S10" s="291">
        <v>0.5</v>
      </c>
      <c r="T10" s="249">
        <v>1</v>
      </c>
      <c r="U10" s="272">
        <v>1</v>
      </c>
      <c r="V10" s="282">
        <v>1</v>
      </c>
      <c r="W10" s="187">
        <v>1</v>
      </c>
      <c r="X10" s="187">
        <v>1</v>
      </c>
      <c r="Y10" s="231">
        <f t="shared" si="0"/>
        <v>0.95454545454545459</v>
      </c>
    </row>
    <row r="11" spans="1:25" ht="130.5" customHeight="1">
      <c r="A11" s="319"/>
      <c r="B11" s="318"/>
      <c r="C11" s="21" t="s">
        <v>115</v>
      </c>
      <c r="D11" s="71">
        <v>0.05</v>
      </c>
      <c r="E11" s="16" t="s">
        <v>112</v>
      </c>
      <c r="F11" s="16">
        <v>1</v>
      </c>
      <c r="G11" s="9" t="s">
        <v>109</v>
      </c>
      <c r="H11" s="23">
        <v>43101</v>
      </c>
      <c r="I11" s="17" t="s">
        <v>106</v>
      </c>
      <c r="J11" s="114">
        <v>0.25</v>
      </c>
      <c r="K11" s="21">
        <v>0.5</v>
      </c>
      <c r="L11" s="21">
        <v>0.75</v>
      </c>
      <c r="M11" s="21">
        <v>1</v>
      </c>
      <c r="N11" s="292">
        <v>1</v>
      </c>
      <c r="O11" s="249">
        <v>1</v>
      </c>
      <c r="P11" s="277">
        <v>1</v>
      </c>
      <c r="Q11" s="277">
        <v>0</v>
      </c>
      <c r="R11" s="249">
        <v>1</v>
      </c>
      <c r="S11" s="291">
        <v>0.7</v>
      </c>
      <c r="T11" s="249">
        <v>1</v>
      </c>
      <c r="U11" s="272">
        <v>1</v>
      </c>
      <c r="V11" s="282">
        <v>1</v>
      </c>
      <c r="W11" s="187">
        <v>1</v>
      </c>
      <c r="X11" s="187">
        <v>1</v>
      </c>
      <c r="Y11" s="231">
        <f t="shared" si="0"/>
        <v>0.88181818181818172</v>
      </c>
    </row>
    <row r="12" spans="1:25" ht="157.5" customHeight="1">
      <c r="A12" s="319"/>
      <c r="B12" s="318" t="s">
        <v>81</v>
      </c>
      <c r="C12" s="21" t="s">
        <v>193</v>
      </c>
      <c r="D12" s="71">
        <v>7.4999999999999997E-2</v>
      </c>
      <c r="E12" s="16" t="s">
        <v>105</v>
      </c>
      <c r="F12" s="16">
        <v>100</v>
      </c>
      <c r="G12" s="9" t="s">
        <v>190</v>
      </c>
      <c r="H12" s="23">
        <v>43101</v>
      </c>
      <c r="I12" s="17" t="s">
        <v>106</v>
      </c>
      <c r="J12" s="114">
        <v>0.15</v>
      </c>
      <c r="K12" s="21">
        <v>0.3</v>
      </c>
      <c r="L12" s="21">
        <v>0.6</v>
      </c>
      <c r="M12" s="21">
        <v>1</v>
      </c>
      <c r="N12" s="294">
        <v>1</v>
      </c>
      <c r="O12" s="35">
        <v>1</v>
      </c>
      <c r="P12" s="35">
        <v>1</v>
      </c>
      <c r="Q12" s="35">
        <v>1</v>
      </c>
      <c r="R12" s="249">
        <v>1</v>
      </c>
      <c r="S12" s="291">
        <v>1</v>
      </c>
      <c r="T12" s="249">
        <v>1</v>
      </c>
      <c r="U12" s="32">
        <v>0.6</v>
      </c>
      <c r="V12" s="187">
        <v>1</v>
      </c>
      <c r="W12" s="187">
        <v>1</v>
      </c>
      <c r="X12" s="187">
        <v>1</v>
      </c>
      <c r="Y12" s="231">
        <f t="shared" si="0"/>
        <v>0.96363636363636362</v>
      </c>
    </row>
    <row r="13" spans="1:25" ht="151.5" customHeight="1">
      <c r="A13" s="319"/>
      <c r="B13" s="318"/>
      <c r="C13" s="21" t="s">
        <v>116</v>
      </c>
      <c r="D13" s="71">
        <v>2.5000000000000001E-2</v>
      </c>
      <c r="E13" s="16" t="s">
        <v>105</v>
      </c>
      <c r="F13" s="16">
        <v>100</v>
      </c>
      <c r="G13" s="9" t="s">
        <v>110</v>
      </c>
      <c r="H13" s="23">
        <v>43101</v>
      </c>
      <c r="I13" s="17" t="s">
        <v>106</v>
      </c>
      <c r="J13" s="114">
        <v>1</v>
      </c>
      <c r="K13" s="21">
        <v>1</v>
      </c>
      <c r="L13" s="21">
        <v>1</v>
      </c>
      <c r="M13" s="21">
        <v>1</v>
      </c>
      <c r="N13" s="292">
        <v>0.99650000000000005</v>
      </c>
      <c r="O13" s="249">
        <v>1</v>
      </c>
      <c r="P13" s="277">
        <v>0.98</v>
      </c>
      <c r="Q13" s="277">
        <v>1</v>
      </c>
      <c r="R13" s="249">
        <v>0.99360000000000004</v>
      </c>
      <c r="S13" s="291">
        <v>1</v>
      </c>
      <c r="T13" s="249">
        <v>1</v>
      </c>
      <c r="U13" s="272">
        <v>1</v>
      </c>
      <c r="V13" s="187">
        <v>1</v>
      </c>
      <c r="W13" s="187">
        <v>1</v>
      </c>
      <c r="X13" s="187">
        <v>0.95</v>
      </c>
      <c r="Y13" s="231">
        <f t="shared" si="0"/>
        <v>0.99273636363636364</v>
      </c>
    </row>
    <row r="14" spans="1:25" ht="101.25" customHeight="1">
      <c r="A14" s="319"/>
      <c r="B14" s="318"/>
      <c r="C14" s="21" t="s">
        <v>117</v>
      </c>
      <c r="D14" s="71">
        <v>2.5000000000000001E-2</v>
      </c>
      <c r="E14" s="16" t="s">
        <v>105</v>
      </c>
      <c r="F14" s="16">
        <v>100</v>
      </c>
      <c r="G14" s="9" t="s">
        <v>120</v>
      </c>
      <c r="H14" s="23">
        <v>43101</v>
      </c>
      <c r="I14" s="17" t="s">
        <v>118</v>
      </c>
      <c r="J14" s="114">
        <v>1</v>
      </c>
      <c r="K14" s="21">
        <v>1</v>
      </c>
      <c r="L14" s="21">
        <v>1</v>
      </c>
      <c r="M14" s="21">
        <v>1</v>
      </c>
      <c r="N14" s="294">
        <v>1</v>
      </c>
      <c r="O14" s="35">
        <v>1</v>
      </c>
      <c r="P14" s="35">
        <v>1</v>
      </c>
      <c r="Q14" s="35">
        <v>1</v>
      </c>
      <c r="R14" s="249">
        <v>1</v>
      </c>
      <c r="S14" s="306"/>
      <c r="T14" s="250">
        <v>1</v>
      </c>
      <c r="U14" s="272">
        <v>1</v>
      </c>
      <c r="V14" s="187">
        <v>1</v>
      </c>
      <c r="W14" s="187">
        <v>1</v>
      </c>
      <c r="X14" s="187">
        <v>1</v>
      </c>
      <c r="Y14" s="231">
        <f t="shared" si="0"/>
        <v>1</v>
      </c>
    </row>
    <row r="15" spans="1:25" ht="33" customHeight="1">
      <c r="A15" s="72"/>
      <c r="B15" s="72"/>
      <c r="C15" s="72"/>
      <c r="D15" s="74">
        <f>SUM(D8:D14)</f>
        <v>0.5</v>
      </c>
      <c r="E15" s="72"/>
      <c r="F15" s="75"/>
      <c r="G15" s="72"/>
      <c r="H15" s="72"/>
      <c r="I15" s="72"/>
      <c r="J15" s="76"/>
      <c r="K15" s="72"/>
      <c r="L15" s="72"/>
      <c r="M15" s="72"/>
      <c r="N15" s="254"/>
      <c r="O15" s="254"/>
      <c r="P15" s="254"/>
      <c r="Q15" s="254"/>
      <c r="R15" s="254"/>
      <c r="S15" s="254"/>
      <c r="T15" s="254"/>
      <c r="U15" s="254"/>
      <c r="V15" s="254"/>
      <c r="W15" s="254"/>
      <c r="X15" s="254"/>
      <c r="Y15" s="115"/>
    </row>
    <row r="16" spans="1:25" ht="45" customHeight="1">
      <c r="A16" s="115"/>
      <c r="B16" s="115"/>
      <c r="C16" s="115"/>
      <c r="D16" s="74"/>
      <c r="E16" s="115"/>
      <c r="F16" s="226"/>
      <c r="G16" s="230" t="s">
        <v>977</v>
      </c>
      <c r="H16" s="115"/>
      <c r="I16" s="115"/>
      <c r="J16" s="76"/>
      <c r="K16" s="115"/>
      <c r="L16" s="115"/>
      <c r="M16" s="115"/>
      <c r="N16" s="295">
        <f>+AVERAGE(N8:N14)</f>
        <v>0.99651428571428569</v>
      </c>
      <c r="O16" s="295">
        <f t="shared" ref="O16:X16" si="1">+AVERAGE(O8:O14)</f>
        <v>1</v>
      </c>
      <c r="P16" s="295">
        <f t="shared" si="1"/>
        <v>0.99428571428571444</v>
      </c>
      <c r="Q16" s="295">
        <f t="shared" si="1"/>
        <v>0.8214285714285714</v>
      </c>
      <c r="R16" s="295">
        <f t="shared" si="1"/>
        <v>0.99908571428571424</v>
      </c>
      <c r="S16" s="295">
        <f t="shared" si="1"/>
        <v>0.67666666666666664</v>
      </c>
      <c r="T16" s="295">
        <f t="shared" si="1"/>
        <v>0.98285714285714287</v>
      </c>
      <c r="U16" s="295">
        <f t="shared" si="1"/>
        <v>0.94285714285714284</v>
      </c>
      <c r="V16" s="295">
        <f t="shared" si="1"/>
        <v>1</v>
      </c>
      <c r="W16" s="295">
        <f t="shared" si="1"/>
        <v>1</v>
      </c>
      <c r="X16" s="295">
        <f t="shared" si="1"/>
        <v>0.99285714285714288</v>
      </c>
      <c r="Y16" s="280">
        <f>AVERAGE(Y8:Y14)</f>
        <v>0.95024935064935068</v>
      </c>
    </row>
    <row r="17" spans="1:25" ht="73.5" customHeight="1">
      <c r="A17" s="115"/>
      <c r="B17" s="115"/>
      <c r="C17" s="115"/>
      <c r="D17" s="74"/>
      <c r="E17" s="115"/>
      <c r="F17" s="226"/>
      <c r="G17" s="230" t="s">
        <v>979</v>
      </c>
      <c r="H17" s="115"/>
      <c r="I17" s="115"/>
      <c r="J17" s="76"/>
      <c r="K17" s="115"/>
      <c r="L17" s="227">
        <f>+AVERAGE(L8:L14)</f>
        <v>0.80714285714285716</v>
      </c>
      <c r="M17" s="227">
        <f>AVERAGE(M8:M14)</f>
        <v>1</v>
      </c>
      <c r="N17" s="115"/>
      <c r="O17" s="115"/>
      <c r="P17" s="115"/>
      <c r="Q17" s="115"/>
      <c r="R17" s="115"/>
      <c r="S17" s="115"/>
      <c r="T17" s="115"/>
      <c r="U17" s="115"/>
      <c r="V17" s="228"/>
      <c r="W17" s="228"/>
      <c r="X17" s="228"/>
      <c r="Y17" s="228"/>
    </row>
    <row r="18" spans="1:25" ht="33" customHeight="1">
      <c r="A18" s="115"/>
      <c r="B18" s="115"/>
      <c r="C18" s="115"/>
      <c r="D18" s="74"/>
      <c r="E18" s="115"/>
      <c r="F18" s="226"/>
      <c r="G18" s="115"/>
      <c r="H18" s="115"/>
      <c r="I18" s="115"/>
      <c r="J18" s="76"/>
      <c r="K18" s="115"/>
      <c r="L18" s="115"/>
      <c r="M18" s="115"/>
      <c r="N18" s="115"/>
      <c r="O18" s="115"/>
      <c r="P18" s="115"/>
      <c r="Q18" s="115"/>
      <c r="R18" s="115"/>
      <c r="S18" s="115"/>
      <c r="T18" s="115"/>
      <c r="U18" s="115"/>
      <c r="V18" s="228"/>
      <c r="W18" s="228"/>
      <c r="X18" s="228"/>
      <c r="Y18" s="228"/>
    </row>
    <row r="19" spans="1:25" ht="78" customHeight="1">
      <c r="A19" s="316" t="s">
        <v>196</v>
      </c>
      <c r="B19" s="316"/>
      <c r="C19" s="316"/>
      <c r="D19" s="316"/>
      <c r="E19" s="316"/>
      <c r="F19" s="316"/>
      <c r="G19" s="316"/>
      <c r="H19" s="316"/>
      <c r="I19" s="316"/>
      <c r="J19" s="316"/>
      <c r="K19" s="316"/>
      <c r="L19" s="316"/>
      <c r="M19" s="316"/>
      <c r="N19" s="316"/>
      <c r="O19" s="316"/>
      <c r="P19" s="316"/>
      <c r="Q19" s="316"/>
      <c r="R19" s="316"/>
      <c r="S19" s="316"/>
      <c r="T19" s="316"/>
      <c r="U19" s="316"/>
    </row>
    <row r="20" spans="1:25" ht="4.5" customHeight="1">
      <c r="A20" s="379"/>
      <c r="B20" s="380"/>
      <c r="C20" s="380"/>
      <c r="D20" s="380"/>
      <c r="E20" s="380"/>
      <c r="F20" s="380"/>
      <c r="G20" s="380"/>
      <c r="H20" s="380"/>
      <c r="I20" s="380"/>
      <c r="J20" s="380"/>
      <c r="K20" s="380"/>
      <c r="L20" s="380"/>
      <c r="M20" s="380"/>
      <c r="N20" s="380"/>
      <c r="O20" s="380"/>
      <c r="P20" s="380"/>
      <c r="Q20" s="380"/>
      <c r="R20" s="380"/>
      <c r="S20" s="380"/>
      <c r="T20" s="380"/>
      <c r="U20" s="381"/>
    </row>
    <row r="21" spans="1:25" ht="33.75">
      <c r="A21" s="316" t="s">
        <v>515</v>
      </c>
      <c r="B21" s="316"/>
      <c r="C21" s="316"/>
      <c r="D21" s="316"/>
      <c r="E21" s="316"/>
      <c r="F21" s="316"/>
      <c r="G21" s="316"/>
      <c r="H21" s="316"/>
      <c r="I21" s="316"/>
      <c r="J21" s="316"/>
      <c r="K21" s="316"/>
      <c r="L21" s="316"/>
      <c r="M21" s="316"/>
      <c r="N21" s="316"/>
      <c r="O21" s="316"/>
      <c r="P21" s="316"/>
      <c r="Q21" s="316"/>
      <c r="R21" s="316"/>
      <c r="S21" s="316"/>
      <c r="T21" s="316"/>
      <c r="U21" s="316"/>
    </row>
    <row r="22" spans="1:25" ht="44.25" customHeight="1">
      <c r="A22" s="339" t="s">
        <v>103</v>
      </c>
      <c r="B22" s="339" t="s">
        <v>74</v>
      </c>
      <c r="C22" s="339" t="s">
        <v>65</v>
      </c>
      <c r="D22" s="339" t="s">
        <v>66</v>
      </c>
      <c r="E22" s="339" t="s">
        <v>67</v>
      </c>
      <c r="F22" s="340" t="s">
        <v>68</v>
      </c>
      <c r="G22" s="339" t="s">
        <v>69</v>
      </c>
      <c r="H22" s="341" t="s">
        <v>70</v>
      </c>
      <c r="I22" s="341"/>
      <c r="J22" s="339" t="s">
        <v>79</v>
      </c>
      <c r="K22" s="339"/>
      <c r="L22" s="339"/>
      <c r="M22" s="339"/>
      <c r="N22" s="331" t="s">
        <v>511</v>
      </c>
      <c r="O22" s="331"/>
      <c r="P22" s="331"/>
      <c r="Q22" s="331"/>
      <c r="R22" s="331"/>
      <c r="S22" s="331"/>
      <c r="T22" s="331"/>
      <c r="U22" s="331"/>
    </row>
    <row r="23" spans="1:25" ht="15.75">
      <c r="A23" s="339"/>
      <c r="B23" s="339"/>
      <c r="C23" s="339"/>
      <c r="D23" s="339"/>
      <c r="E23" s="339"/>
      <c r="F23" s="340"/>
      <c r="G23" s="339"/>
      <c r="H23" s="332" t="s">
        <v>71</v>
      </c>
      <c r="I23" s="332" t="s">
        <v>197</v>
      </c>
      <c r="J23" s="15" t="s">
        <v>75</v>
      </c>
      <c r="K23" s="15" t="s">
        <v>76</v>
      </c>
      <c r="L23" s="15" t="s">
        <v>77</v>
      </c>
      <c r="M23" s="15" t="s">
        <v>78</v>
      </c>
      <c r="N23" s="333" t="s">
        <v>75</v>
      </c>
      <c r="O23" s="333"/>
      <c r="P23" s="333" t="s">
        <v>76</v>
      </c>
      <c r="Q23" s="333"/>
      <c r="R23" s="333" t="s">
        <v>77</v>
      </c>
      <c r="S23" s="333"/>
      <c r="T23" s="333" t="s">
        <v>78</v>
      </c>
      <c r="U23" s="333"/>
    </row>
    <row r="24" spans="1:25" ht="36.75" customHeight="1">
      <c r="A24" s="339"/>
      <c r="B24" s="339"/>
      <c r="C24" s="339"/>
      <c r="D24" s="339"/>
      <c r="E24" s="339"/>
      <c r="F24" s="340"/>
      <c r="G24" s="339"/>
      <c r="H24" s="332"/>
      <c r="I24" s="332"/>
      <c r="J24" s="101" t="s">
        <v>64</v>
      </c>
      <c r="K24" s="55" t="s">
        <v>64</v>
      </c>
      <c r="L24" s="55" t="s">
        <v>64</v>
      </c>
      <c r="M24" s="55" t="s">
        <v>64</v>
      </c>
      <c r="N24" s="185" t="s">
        <v>514</v>
      </c>
      <c r="O24" s="185" t="s">
        <v>513</v>
      </c>
      <c r="P24" s="185" t="s">
        <v>514</v>
      </c>
      <c r="Q24" s="185" t="s">
        <v>513</v>
      </c>
      <c r="R24" s="185" t="s">
        <v>514</v>
      </c>
      <c r="S24" s="185" t="s">
        <v>513</v>
      </c>
      <c r="T24" s="185" t="s">
        <v>514</v>
      </c>
      <c r="U24" s="185" t="s">
        <v>513</v>
      </c>
    </row>
    <row r="25" spans="1:25" ht="33.75">
      <c r="A25" s="316" t="s">
        <v>198</v>
      </c>
      <c r="B25" s="316"/>
      <c r="C25" s="316"/>
      <c r="D25" s="316"/>
      <c r="E25" s="316"/>
      <c r="F25" s="316"/>
      <c r="G25" s="316"/>
      <c r="H25" s="316"/>
      <c r="I25" s="316"/>
      <c r="J25" s="316"/>
      <c r="K25" s="316"/>
      <c r="L25" s="316"/>
      <c r="M25" s="316"/>
      <c r="N25" s="316"/>
      <c r="O25" s="316"/>
      <c r="P25" s="316"/>
      <c r="Q25" s="316"/>
      <c r="R25" s="316"/>
      <c r="S25" s="316"/>
      <c r="T25" s="316"/>
      <c r="U25" s="316"/>
    </row>
    <row r="26" spans="1:25" ht="165.75">
      <c r="A26" s="319" t="s">
        <v>199</v>
      </c>
      <c r="B26" s="365" t="s">
        <v>200</v>
      </c>
      <c r="C26" s="9" t="s">
        <v>201</v>
      </c>
      <c r="D26" s="124">
        <v>9.2499999999999995E-3</v>
      </c>
      <c r="E26" s="110" t="s">
        <v>112</v>
      </c>
      <c r="F26" s="125">
        <v>50</v>
      </c>
      <c r="G26" s="9" t="s">
        <v>202</v>
      </c>
      <c r="H26" s="108">
        <v>43101</v>
      </c>
      <c r="I26" s="110" t="s">
        <v>106</v>
      </c>
      <c r="J26" s="54">
        <v>0</v>
      </c>
      <c r="K26" s="54">
        <v>0</v>
      </c>
      <c r="L26" s="54">
        <v>0</v>
      </c>
      <c r="M26" s="125">
        <v>50</v>
      </c>
      <c r="N26" s="43">
        <v>0</v>
      </c>
      <c r="O26" s="126" t="s">
        <v>559</v>
      </c>
      <c r="P26" s="170">
        <v>1.22</v>
      </c>
      <c r="Q26" s="170" t="s">
        <v>785</v>
      </c>
      <c r="R26" s="43">
        <f>61/F26</f>
        <v>1.22</v>
      </c>
      <c r="S26" s="126" t="s">
        <v>832</v>
      </c>
      <c r="T26" s="115"/>
      <c r="U26" s="115"/>
    </row>
    <row r="27" spans="1:25" ht="140.25">
      <c r="A27" s="319"/>
      <c r="B27" s="365"/>
      <c r="C27" s="9" t="s">
        <v>203</v>
      </c>
      <c r="D27" s="124">
        <v>9.2499999999999995E-3</v>
      </c>
      <c r="E27" s="110" t="s">
        <v>112</v>
      </c>
      <c r="F27" s="125">
        <v>520</v>
      </c>
      <c r="G27" s="9" t="s">
        <v>202</v>
      </c>
      <c r="H27" s="108">
        <v>43101</v>
      </c>
      <c r="I27" s="110" t="s">
        <v>106</v>
      </c>
      <c r="J27" s="54">
        <v>0</v>
      </c>
      <c r="K27" s="54">
        <v>0</v>
      </c>
      <c r="L27" s="54">
        <v>0</v>
      </c>
      <c r="M27" s="125">
        <v>520</v>
      </c>
      <c r="N27" s="43">
        <v>0.46730769230769231</v>
      </c>
      <c r="O27" s="126" t="s">
        <v>560</v>
      </c>
      <c r="P27" s="170">
        <v>1.0033333333333334</v>
      </c>
      <c r="Q27" s="170" t="s">
        <v>786</v>
      </c>
      <c r="R27" s="43">
        <f>301/300</f>
        <v>1.0033333333333334</v>
      </c>
      <c r="S27" s="126" t="s">
        <v>833</v>
      </c>
      <c r="T27" s="115"/>
      <c r="U27" s="115"/>
    </row>
    <row r="28" spans="1:25" ht="89.25">
      <c r="A28" s="319"/>
      <c r="B28" s="365"/>
      <c r="C28" s="9" t="s">
        <v>204</v>
      </c>
      <c r="D28" s="124">
        <v>9.2499999999999995E-3</v>
      </c>
      <c r="E28" s="110" t="s">
        <v>112</v>
      </c>
      <c r="F28" s="125">
        <v>1931</v>
      </c>
      <c r="G28" s="9" t="s">
        <v>205</v>
      </c>
      <c r="H28" s="108">
        <v>43101</v>
      </c>
      <c r="I28" s="110" t="s">
        <v>106</v>
      </c>
      <c r="J28" s="54">
        <v>0</v>
      </c>
      <c r="K28" s="54">
        <v>0</v>
      </c>
      <c r="L28" s="54">
        <v>0</v>
      </c>
      <c r="M28" s="125">
        <v>1931</v>
      </c>
      <c r="N28" s="43">
        <v>0.10305541170378042</v>
      </c>
      <c r="O28" s="126" t="s">
        <v>561</v>
      </c>
      <c r="P28" s="170">
        <v>0.19264629725530813</v>
      </c>
      <c r="Q28" s="170" t="s">
        <v>787</v>
      </c>
      <c r="R28" s="188">
        <f>996/1931</f>
        <v>0.5157949249093734</v>
      </c>
      <c r="S28" s="126" t="s">
        <v>834</v>
      </c>
      <c r="T28" s="115"/>
      <c r="U28" s="115"/>
    </row>
    <row r="29" spans="1:25" ht="89.25">
      <c r="A29" s="319"/>
      <c r="B29" s="365"/>
      <c r="C29" s="9" t="s">
        <v>206</v>
      </c>
      <c r="D29" s="124">
        <v>9.2499999999999995E-3</v>
      </c>
      <c r="E29" s="110" t="s">
        <v>112</v>
      </c>
      <c r="F29" s="125">
        <v>3039</v>
      </c>
      <c r="G29" s="9" t="s">
        <v>205</v>
      </c>
      <c r="H29" s="108">
        <v>43101</v>
      </c>
      <c r="I29" s="110" t="s">
        <v>106</v>
      </c>
      <c r="J29" s="54">
        <v>0</v>
      </c>
      <c r="K29" s="54">
        <v>0</v>
      </c>
      <c r="L29" s="54">
        <v>0</v>
      </c>
      <c r="M29" s="125">
        <v>3039</v>
      </c>
      <c r="N29" s="43">
        <v>8.5225403093122737E-2</v>
      </c>
      <c r="O29" s="126" t="s">
        <v>562</v>
      </c>
      <c r="P29" s="170">
        <v>0.11780190852254031</v>
      </c>
      <c r="Q29" s="170" t="s">
        <v>788</v>
      </c>
      <c r="R29" s="188">
        <f>706/3039</f>
        <v>0.23231326094109905</v>
      </c>
      <c r="S29" s="178" t="s">
        <v>835</v>
      </c>
      <c r="T29" s="115"/>
      <c r="U29" s="115"/>
    </row>
    <row r="30" spans="1:25" ht="153">
      <c r="A30" s="319"/>
      <c r="B30" s="365"/>
      <c r="C30" s="9" t="s">
        <v>207</v>
      </c>
      <c r="D30" s="124">
        <v>9.2499999999999995E-3</v>
      </c>
      <c r="E30" s="110" t="s">
        <v>112</v>
      </c>
      <c r="F30" s="125">
        <v>4100</v>
      </c>
      <c r="G30" s="9" t="s">
        <v>202</v>
      </c>
      <c r="H30" s="108">
        <v>43101</v>
      </c>
      <c r="I30" s="110" t="s">
        <v>106</v>
      </c>
      <c r="J30" s="54">
        <v>0</v>
      </c>
      <c r="K30" s="54">
        <v>0</v>
      </c>
      <c r="L30" s="54">
        <v>0</v>
      </c>
      <c r="M30" s="125">
        <v>4100</v>
      </c>
      <c r="N30" s="43">
        <v>5.5853658536585367E-2</v>
      </c>
      <c r="O30" s="126" t="s">
        <v>563</v>
      </c>
      <c r="P30" s="170">
        <v>0.98609756097560974</v>
      </c>
      <c r="Q30" s="170" t="s">
        <v>789</v>
      </c>
      <c r="R30" s="189">
        <f>4043/4100</f>
        <v>0.98609756097560974</v>
      </c>
      <c r="S30" s="178" t="s">
        <v>836</v>
      </c>
      <c r="T30" s="115"/>
      <c r="U30" s="115"/>
    </row>
    <row r="31" spans="1:25" ht="204">
      <c r="A31" s="319"/>
      <c r="B31" s="365"/>
      <c r="C31" s="9" t="s">
        <v>208</v>
      </c>
      <c r="D31" s="124">
        <v>9.2499999999999995E-3</v>
      </c>
      <c r="E31" s="110" t="s">
        <v>112</v>
      </c>
      <c r="F31" s="125">
        <v>639766300</v>
      </c>
      <c r="G31" s="9" t="s">
        <v>209</v>
      </c>
      <c r="H31" s="108">
        <v>43101</v>
      </c>
      <c r="I31" s="110" t="s">
        <v>106</v>
      </c>
      <c r="J31" s="54">
        <v>0</v>
      </c>
      <c r="K31" s="54">
        <v>0</v>
      </c>
      <c r="L31" s="54">
        <v>0</v>
      </c>
      <c r="M31" s="125">
        <v>639766300</v>
      </c>
      <c r="N31" s="43">
        <v>0</v>
      </c>
      <c r="O31" s="126" t="s">
        <v>564</v>
      </c>
      <c r="P31" s="170">
        <v>1.0014287779772082</v>
      </c>
      <c r="Q31" s="170" t="s">
        <v>790</v>
      </c>
      <c r="R31" s="190">
        <f>640680384/639766300</f>
        <v>1.0014287779772082</v>
      </c>
      <c r="S31" s="126" t="s">
        <v>837</v>
      </c>
      <c r="T31" s="115"/>
      <c r="U31" s="115"/>
    </row>
    <row r="32" spans="1:25" ht="409.5">
      <c r="A32" s="319"/>
      <c r="B32" s="365"/>
      <c r="C32" s="9" t="s">
        <v>210</v>
      </c>
      <c r="D32" s="124">
        <v>9.2499999999999995E-3</v>
      </c>
      <c r="E32" s="110" t="s">
        <v>105</v>
      </c>
      <c r="F32" s="125">
        <v>45</v>
      </c>
      <c r="G32" s="9" t="s">
        <v>211</v>
      </c>
      <c r="H32" s="108">
        <v>43101</v>
      </c>
      <c r="I32" s="110" t="s">
        <v>106</v>
      </c>
      <c r="J32" s="54">
        <v>0</v>
      </c>
      <c r="K32" s="54">
        <v>0</v>
      </c>
      <c r="L32" s="54">
        <v>0</v>
      </c>
      <c r="M32" s="127">
        <v>45</v>
      </c>
      <c r="N32" s="43">
        <v>0.4</v>
      </c>
      <c r="O32" s="126" t="s">
        <v>565</v>
      </c>
      <c r="P32" s="170">
        <v>0.95555555555555549</v>
      </c>
      <c r="Q32" s="170" t="s">
        <v>791</v>
      </c>
      <c r="R32" s="189">
        <f>60/45</f>
        <v>1.3333333333333333</v>
      </c>
      <c r="S32" s="179" t="s">
        <v>838</v>
      </c>
      <c r="T32" s="115"/>
      <c r="U32" s="115"/>
    </row>
    <row r="33" spans="1:21" ht="165.75">
      <c r="A33" s="319"/>
      <c r="B33" s="365"/>
      <c r="C33" s="9" t="s">
        <v>212</v>
      </c>
      <c r="D33" s="124">
        <v>9.2499999999999995E-3</v>
      </c>
      <c r="E33" s="110" t="s">
        <v>112</v>
      </c>
      <c r="F33" s="125">
        <v>1000</v>
      </c>
      <c r="G33" s="9" t="s">
        <v>202</v>
      </c>
      <c r="H33" s="108">
        <v>43101</v>
      </c>
      <c r="I33" s="110" t="s">
        <v>106</v>
      </c>
      <c r="J33" s="54">
        <v>0</v>
      </c>
      <c r="K33" s="54">
        <v>0</v>
      </c>
      <c r="L33" s="54">
        <v>0</v>
      </c>
      <c r="M33" s="125">
        <v>1000</v>
      </c>
      <c r="N33" s="43">
        <v>7.4999999999999997E-2</v>
      </c>
      <c r="O33" s="126" t="s">
        <v>566</v>
      </c>
      <c r="P33" s="170">
        <v>0</v>
      </c>
      <c r="Q33" s="170" t="s">
        <v>792</v>
      </c>
      <c r="R33" s="43">
        <v>0</v>
      </c>
      <c r="S33" s="146" t="s">
        <v>839</v>
      </c>
      <c r="T33" s="115"/>
      <c r="U33" s="115"/>
    </row>
    <row r="34" spans="1:21" ht="395.25">
      <c r="A34" s="319"/>
      <c r="B34" s="365"/>
      <c r="C34" s="9" t="s">
        <v>213</v>
      </c>
      <c r="D34" s="124">
        <v>9.2499999999999995E-3</v>
      </c>
      <c r="E34" s="110" t="s">
        <v>105</v>
      </c>
      <c r="F34" s="124">
        <v>0.7</v>
      </c>
      <c r="G34" s="9" t="s">
        <v>211</v>
      </c>
      <c r="H34" s="108">
        <v>43101</v>
      </c>
      <c r="I34" s="110" t="s">
        <v>106</v>
      </c>
      <c r="J34" s="54">
        <v>0</v>
      </c>
      <c r="K34" s="54">
        <v>0</v>
      </c>
      <c r="L34" s="54">
        <v>0</v>
      </c>
      <c r="M34" s="128">
        <v>0.7</v>
      </c>
      <c r="N34" s="43">
        <v>0</v>
      </c>
      <c r="O34" s="126" t="s">
        <v>567</v>
      </c>
      <c r="P34" s="170">
        <v>0.7142857142857143</v>
      </c>
      <c r="Q34" s="170" t="s">
        <v>793</v>
      </c>
      <c r="R34" s="43">
        <f>70/70</f>
        <v>1</v>
      </c>
      <c r="S34" s="179" t="s">
        <v>840</v>
      </c>
      <c r="T34" s="115"/>
      <c r="U34" s="115"/>
    </row>
    <row r="35" spans="1:21" ht="178.5">
      <c r="A35" s="319"/>
      <c r="B35" s="365"/>
      <c r="C35" s="9" t="s">
        <v>214</v>
      </c>
      <c r="D35" s="124">
        <v>9.2499999999999995E-3</v>
      </c>
      <c r="E35" s="110" t="s">
        <v>112</v>
      </c>
      <c r="F35" s="125">
        <v>370</v>
      </c>
      <c r="G35" s="9" t="s">
        <v>18</v>
      </c>
      <c r="H35" s="108">
        <v>43101</v>
      </c>
      <c r="I35" s="110" t="s">
        <v>106</v>
      </c>
      <c r="J35" s="54">
        <v>0</v>
      </c>
      <c r="K35" s="54">
        <v>0</v>
      </c>
      <c r="L35" s="54">
        <v>0</v>
      </c>
      <c r="M35" s="125">
        <v>370</v>
      </c>
      <c r="N35" s="43">
        <v>1</v>
      </c>
      <c r="O35" s="126" t="s">
        <v>568</v>
      </c>
      <c r="P35" s="170">
        <v>1</v>
      </c>
      <c r="Q35" s="170" t="s">
        <v>794</v>
      </c>
      <c r="R35" s="43">
        <f>370/370</f>
        <v>1</v>
      </c>
      <c r="S35" s="126" t="s">
        <v>841</v>
      </c>
      <c r="T35" s="115"/>
      <c r="U35" s="115"/>
    </row>
    <row r="36" spans="1:21" ht="114.75">
      <c r="A36" s="319"/>
      <c r="B36" s="365"/>
      <c r="C36" s="9" t="s">
        <v>215</v>
      </c>
      <c r="D36" s="124">
        <v>9.2499999999999995E-3</v>
      </c>
      <c r="E36" s="110" t="s">
        <v>112</v>
      </c>
      <c r="F36" s="125">
        <v>1700000</v>
      </c>
      <c r="G36" s="9" t="s">
        <v>202</v>
      </c>
      <c r="H36" s="108">
        <v>43101</v>
      </c>
      <c r="I36" s="110" t="s">
        <v>106</v>
      </c>
      <c r="J36" s="54">
        <v>0</v>
      </c>
      <c r="K36" s="54">
        <v>0</v>
      </c>
      <c r="L36" s="54">
        <v>0</v>
      </c>
      <c r="M36" s="125">
        <v>1700000</v>
      </c>
      <c r="N36" s="43">
        <v>0</v>
      </c>
      <c r="O36" s="126" t="s">
        <v>569</v>
      </c>
      <c r="P36" s="170">
        <v>1.2481517647058824</v>
      </c>
      <c r="Q36" s="170" t="s">
        <v>795</v>
      </c>
      <c r="R36" s="43">
        <f>2121858/1700000</f>
        <v>1.2481517647058824</v>
      </c>
      <c r="S36" s="179" t="s">
        <v>842</v>
      </c>
      <c r="T36" s="115"/>
      <c r="U36" s="115"/>
    </row>
    <row r="37" spans="1:21" ht="127.5">
      <c r="A37" s="319"/>
      <c r="B37" s="365"/>
      <c r="C37" s="9" t="s">
        <v>216</v>
      </c>
      <c r="D37" s="124">
        <v>9.2499999999999995E-3</v>
      </c>
      <c r="E37" s="110" t="s">
        <v>112</v>
      </c>
      <c r="F37" s="125">
        <v>450000</v>
      </c>
      <c r="G37" s="9" t="s">
        <v>202</v>
      </c>
      <c r="H37" s="108">
        <v>43101</v>
      </c>
      <c r="I37" s="110" t="s">
        <v>106</v>
      </c>
      <c r="J37" s="54">
        <v>0</v>
      </c>
      <c r="K37" s="54">
        <v>0</v>
      </c>
      <c r="L37" s="54">
        <v>0</v>
      </c>
      <c r="M37" s="125">
        <v>450000</v>
      </c>
      <c r="N37" s="43">
        <v>5.944444444444444E-3</v>
      </c>
      <c r="O37" s="126" t="s">
        <v>570</v>
      </c>
      <c r="P37" s="170">
        <v>0.1807</v>
      </c>
      <c r="Q37" s="170" t="s">
        <v>796</v>
      </c>
      <c r="R37" s="43">
        <f>9035/50000</f>
        <v>0.1807</v>
      </c>
      <c r="S37" s="179" t="s">
        <v>843</v>
      </c>
      <c r="T37" s="115"/>
      <c r="U37" s="115"/>
    </row>
    <row r="38" spans="1:21" ht="78.75">
      <c r="A38" s="319"/>
      <c r="B38" s="365"/>
      <c r="C38" s="9" t="s">
        <v>217</v>
      </c>
      <c r="D38" s="124">
        <v>9.2499999999999995E-3</v>
      </c>
      <c r="E38" s="110" t="s">
        <v>112</v>
      </c>
      <c r="F38" s="125">
        <v>1200000</v>
      </c>
      <c r="G38" s="9" t="s">
        <v>18</v>
      </c>
      <c r="H38" s="108">
        <v>43101</v>
      </c>
      <c r="I38" s="110" t="s">
        <v>106</v>
      </c>
      <c r="J38" s="54">
        <v>0</v>
      </c>
      <c r="K38" s="54">
        <v>0</v>
      </c>
      <c r="L38" s="54">
        <v>0</v>
      </c>
      <c r="M38" s="125">
        <v>1200000</v>
      </c>
      <c r="N38" s="43">
        <v>0</v>
      </c>
      <c r="O38" s="126"/>
      <c r="P38" s="170">
        <v>0</v>
      </c>
      <c r="Q38" s="170" t="s">
        <v>797</v>
      </c>
      <c r="R38" s="43">
        <v>0</v>
      </c>
      <c r="S38" s="179" t="s">
        <v>797</v>
      </c>
      <c r="T38" s="115"/>
      <c r="U38" s="115"/>
    </row>
    <row r="39" spans="1:21" ht="165.75">
      <c r="A39" s="319"/>
      <c r="B39" s="365"/>
      <c r="C39" s="9" t="s">
        <v>218</v>
      </c>
      <c r="D39" s="124">
        <v>9.2499999999999995E-3</v>
      </c>
      <c r="E39" s="110" t="s">
        <v>112</v>
      </c>
      <c r="F39" s="125">
        <v>1</v>
      </c>
      <c r="G39" s="9" t="s">
        <v>18</v>
      </c>
      <c r="H39" s="108">
        <v>43101</v>
      </c>
      <c r="I39" s="110" t="s">
        <v>106</v>
      </c>
      <c r="J39" s="54">
        <v>0</v>
      </c>
      <c r="K39" s="54">
        <v>0</v>
      </c>
      <c r="L39" s="54">
        <v>0</v>
      </c>
      <c r="M39" s="125">
        <v>1</v>
      </c>
      <c r="N39" s="43">
        <v>0</v>
      </c>
      <c r="O39" s="126" t="s">
        <v>571</v>
      </c>
      <c r="P39" s="170">
        <v>0</v>
      </c>
      <c r="Q39" s="170" t="s">
        <v>798</v>
      </c>
      <c r="R39" s="43">
        <v>0</v>
      </c>
      <c r="S39" s="191" t="s">
        <v>844</v>
      </c>
      <c r="T39" s="115"/>
      <c r="U39" s="115"/>
    </row>
    <row r="40" spans="1:21" ht="178.5">
      <c r="A40" s="319"/>
      <c r="B40" s="365"/>
      <c r="C40" s="9" t="s">
        <v>219</v>
      </c>
      <c r="D40" s="124">
        <v>9.2499999999999995E-3</v>
      </c>
      <c r="E40" s="110" t="s">
        <v>112</v>
      </c>
      <c r="F40" s="125">
        <v>85000</v>
      </c>
      <c r="G40" s="9" t="s">
        <v>202</v>
      </c>
      <c r="H40" s="108">
        <v>43101</v>
      </c>
      <c r="I40" s="110" t="s">
        <v>106</v>
      </c>
      <c r="J40" s="54">
        <v>0</v>
      </c>
      <c r="K40" s="54">
        <v>0</v>
      </c>
      <c r="L40" s="54">
        <v>0</v>
      </c>
      <c r="M40" s="125">
        <v>85000</v>
      </c>
      <c r="N40" s="43">
        <v>0.63027058823529414</v>
      </c>
      <c r="O40" s="126" t="s">
        <v>572</v>
      </c>
      <c r="P40" s="170">
        <v>0.9798</v>
      </c>
      <c r="Q40" s="170" t="s">
        <v>799</v>
      </c>
      <c r="R40" s="43">
        <f>87873/85000</f>
        <v>1.0338000000000001</v>
      </c>
      <c r="S40" s="191" t="s">
        <v>845</v>
      </c>
      <c r="T40" s="115"/>
      <c r="U40" s="115"/>
    </row>
    <row r="41" spans="1:21" ht="89.25">
      <c r="A41" s="319"/>
      <c r="B41" s="365"/>
      <c r="C41" s="9" t="s">
        <v>220</v>
      </c>
      <c r="D41" s="124">
        <v>9.2499999999999995E-3</v>
      </c>
      <c r="E41" s="110" t="s">
        <v>112</v>
      </c>
      <c r="F41" s="125">
        <v>6580</v>
      </c>
      <c r="G41" s="9" t="s">
        <v>202</v>
      </c>
      <c r="H41" s="108">
        <v>43101</v>
      </c>
      <c r="I41" s="110" t="s">
        <v>106</v>
      </c>
      <c r="J41" s="54">
        <v>0</v>
      </c>
      <c r="K41" s="54">
        <v>0</v>
      </c>
      <c r="L41" s="54">
        <v>0</v>
      </c>
      <c r="M41" s="125">
        <v>6580</v>
      </c>
      <c r="N41" s="43">
        <v>0</v>
      </c>
      <c r="O41" s="126" t="s">
        <v>573</v>
      </c>
      <c r="P41" s="170">
        <v>0.60933333333333328</v>
      </c>
      <c r="Q41" s="170" t="s">
        <v>800</v>
      </c>
      <c r="R41" s="43">
        <f>2645/3000</f>
        <v>0.88166666666666671</v>
      </c>
      <c r="S41" s="172" t="s">
        <v>846</v>
      </c>
      <c r="T41" s="115"/>
      <c r="U41" s="115"/>
    </row>
    <row r="42" spans="1:21" ht="204">
      <c r="A42" s="319"/>
      <c r="B42" s="365"/>
      <c r="C42" s="9" t="s">
        <v>221</v>
      </c>
      <c r="D42" s="124">
        <v>9.2499999999999995E-3</v>
      </c>
      <c r="E42" s="110" t="s">
        <v>112</v>
      </c>
      <c r="F42" s="125">
        <v>16000</v>
      </c>
      <c r="G42" s="9" t="s">
        <v>222</v>
      </c>
      <c r="H42" s="108">
        <v>43101</v>
      </c>
      <c r="I42" s="110" t="s">
        <v>106</v>
      </c>
      <c r="J42" s="54">
        <v>0</v>
      </c>
      <c r="K42" s="54">
        <v>0</v>
      </c>
      <c r="L42" s="54">
        <v>0</v>
      </c>
      <c r="M42" s="125">
        <v>16000</v>
      </c>
      <c r="N42" s="43">
        <v>0</v>
      </c>
      <c r="O42" s="126" t="s">
        <v>574</v>
      </c>
      <c r="P42" s="170">
        <v>1.0180624999999999</v>
      </c>
      <c r="Q42" s="170" t="s">
        <v>801</v>
      </c>
      <c r="R42" s="43">
        <f>16289/16000</f>
        <v>1.0180625000000001</v>
      </c>
      <c r="S42" s="172" t="s">
        <v>847</v>
      </c>
      <c r="T42" s="115"/>
      <c r="U42" s="115"/>
    </row>
    <row r="43" spans="1:21" ht="127.5">
      <c r="A43" s="319"/>
      <c r="B43" s="365"/>
      <c r="C43" s="9" t="s">
        <v>223</v>
      </c>
      <c r="D43" s="124">
        <v>9.2499999999999995E-3</v>
      </c>
      <c r="E43" s="110" t="s">
        <v>112</v>
      </c>
      <c r="F43" s="125">
        <v>95</v>
      </c>
      <c r="G43" s="9" t="s">
        <v>209</v>
      </c>
      <c r="H43" s="108">
        <v>43101</v>
      </c>
      <c r="I43" s="110" t="s">
        <v>106</v>
      </c>
      <c r="J43" s="54">
        <v>0</v>
      </c>
      <c r="K43" s="54">
        <v>0</v>
      </c>
      <c r="L43" s="54">
        <v>0</v>
      </c>
      <c r="M43" s="125">
        <v>95</v>
      </c>
      <c r="N43" s="43">
        <v>0.5428421052631579</v>
      </c>
      <c r="O43" s="126" t="s">
        <v>575</v>
      </c>
      <c r="P43" s="170">
        <v>1</v>
      </c>
      <c r="Q43" s="170" t="s">
        <v>802</v>
      </c>
      <c r="R43" s="43">
        <f>95/95</f>
        <v>1</v>
      </c>
      <c r="S43" s="172" t="s">
        <v>848</v>
      </c>
      <c r="T43" s="115"/>
      <c r="U43" s="115"/>
    </row>
    <row r="44" spans="1:21" ht="173.25">
      <c r="A44" s="319"/>
      <c r="B44" s="365"/>
      <c r="C44" s="9" t="s">
        <v>224</v>
      </c>
      <c r="D44" s="124">
        <v>9.2499999999999995E-3</v>
      </c>
      <c r="E44" s="110" t="s">
        <v>112</v>
      </c>
      <c r="F44" s="125">
        <v>1300</v>
      </c>
      <c r="G44" s="9" t="s">
        <v>222</v>
      </c>
      <c r="H44" s="108">
        <v>43101</v>
      </c>
      <c r="I44" s="110" t="s">
        <v>106</v>
      </c>
      <c r="J44" s="54">
        <v>0</v>
      </c>
      <c r="K44" s="54">
        <v>0</v>
      </c>
      <c r="L44" s="54">
        <v>0</v>
      </c>
      <c r="M44" s="125">
        <v>1300</v>
      </c>
      <c r="N44" s="43">
        <v>0</v>
      </c>
      <c r="O44" s="126"/>
      <c r="P44" s="170">
        <v>1</v>
      </c>
      <c r="Q44" s="170" t="s">
        <v>803</v>
      </c>
      <c r="R44" s="43">
        <v>1</v>
      </c>
      <c r="S44" s="178" t="s">
        <v>803</v>
      </c>
      <c r="T44" s="115"/>
      <c r="U44" s="115"/>
    </row>
    <row r="45" spans="1:21" ht="191.25">
      <c r="A45" s="319"/>
      <c r="B45" s="365"/>
      <c r="C45" s="9" t="s">
        <v>225</v>
      </c>
      <c r="D45" s="124">
        <v>9.2499999999999995E-3</v>
      </c>
      <c r="E45" s="110" t="s">
        <v>112</v>
      </c>
      <c r="F45" s="125">
        <v>12</v>
      </c>
      <c r="G45" s="9" t="s">
        <v>226</v>
      </c>
      <c r="H45" s="108">
        <v>43101</v>
      </c>
      <c r="I45" s="110" t="s">
        <v>106</v>
      </c>
      <c r="J45" s="54">
        <v>0</v>
      </c>
      <c r="K45" s="54">
        <v>0</v>
      </c>
      <c r="L45" s="54">
        <v>0</v>
      </c>
      <c r="M45" s="125">
        <v>12</v>
      </c>
      <c r="N45" s="43">
        <v>0</v>
      </c>
      <c r="O45" s="126" t="s">
        <v>576</v>
      </c>
      <c r="P45" s="170">
        <v>0</v>
      </c>
      <c r="Q45" s="170" t="s">
        <v>804</v>
      </c>
      <c r="R45" s="43">
        <v>0</v>
      </c>
      <c r="S45" s="179" t="s">
        <v>849</v>
      </c>
      <c r="T45" s="115"/>
      <c r="U45" s="115"/>
    </row>
    <row r="46" spans="1:21" ht="127.5">
      <c r="A46" s="319"/>
      <c r="B46" s="365"/>
      <c r="C46" s="9" t="s">
        <v>227</v>
      </c>
      <c r="D46" s="124">
        <v>9.2499999999999995E-3</v>
      </c>
      <c r="E46" s="110" t="s">
        <v>112</v>
      </c>
      <c r="F46" s="125">
        <v>20000</v>
      </c>
      <c r="G46" s="9" t="s">
        <v>228</v>
      </c>
      <c r="H46" s="108">
        <v>43101</v>
      </c>
      <c r="I46" s="110" t="s">
        <v>106</v>
      </c>
      <c r="J46" s="54">
        <v>0</v>
      </c>
      <c r="K46" s="54">
        <v>0</v>
      </c>
      <c r="L46" s="54">
        <v>0</v>
      </c>
      <c r="M46" s="125">
        <v>20000</v>
      </c>
      <c r="N46" s="43">
        <v>0</v>
      </c>
      <c r="O46" s="126" t="s">
        <v>577</v>
      </c>
      <c r="P46" s="170">
        <v>0</v>
      </c>
      <c r="Q46" s="170" t="s">
        <v>805</v>
      </c>
      <c r="R46" s="43">
        <v>0</v>
      </c>
      <c r="S46" s="172" t="s">
        <v>850</v>
      </c>
      <c r="T46" s="115"/>
      <c r="U46" s="115"/>
    </row>
    <row r="47" spans="1:21" ht="153">
      <c r="A47" s="319"/>
      <c r="B47" s="365"/>
      <c r="C47" s="9" t="s">
        <v>229</v>
      </c>
      <c r="D47" s="124">
        <v>9.2499999999999995E-3</v>
      </c>
      <c r="E47" s="110" t="s">
        <v>112</v>
      </c>
      <c r="F47" s="125">
        <v>20000</v>
      </c>
      <c r="G47" s="9" t="s">
        <v>228</v>
      </c>
      <c r="H47" s="108">
        <v>43101</v>
      </c>
      <c r="I47" s="110" t="s">
        <v>106</v>
      </c>
      <c r="J47" s="54">
        <v>0</v>
      </c>
      <c r="K47" s="54">
        <v>0</v>
      </c>
      <c r="L47" s="54">
        <v>0</v>
      </c>
      <c r="M47" s="125">
        <v>20000</v>
      </c>
      <c r="N47" s="43">
        <v>0</v>
      </c>
      <c r="O47" s="126" t="s">
        <v>578</v>
      </c>
      <c r="P47" s="170">
        <v>0.16789999999999999</v>
      </c>
      <c r="Q47" s="170" t="s">
        <v>806</v>
      </c>
      <c r="R47" s="43">
        <f>3358/20000</f>
        <v>0.16789999999999999</v>
      </c>
      <c r="S47" s="172" t="s">
        <v>851</v>
      </c>
      <c r="T47" s="115"/>
      <c r="U47" s="115"/>
    </row>
    <row r="48" spans="1:21" ht="409.5">
      <c r="A48" s="319"/>
      <c r="B48" s="365"/>
      <c r="C48" s="9" t="s">
        <v>230</v>
      </c>
      <c r="D48" s="124">
        <v>9.2499999999999995E-3</v>
      </c>
      <c r="E48" s="110" t="s">
        <v>112</v>
      </c>
      <c r="F48" s="125">
        <v>100</v>
      </c>
      <c r="G48" s="9" t="s">
        <v>209</v>
      </c>
      <c r="H48" s="108">
        <v>43101</v>
      </c>
      <c r="I48" s="110" t="s">
        <v>106</v>
      </c>
      <c r="J48" s="54">
        <v>0</v>
      </c>
      <c r="K48" s="54">
        <v>0</v>
      </c>
      <c r="L48" s="54">
        <v>0</v>
      </c>
      <c r="M48" s="125">
        <v>100</v>
      </c>
      <c r="N48" s="43">
        <v>5.7000000000000002E-2</v>
      </c>
      <c r="O48" s="126" t="s">
        <v>579</v>
      </c>
      <c r="P48" s="170">
        <v>0.114</v>
      </c>
      <c r="Q48" s="170" t="s">
        <v>807</v>
      </c>
      <c r="R48" s="77">
        <v>0.5</v>
      </c>
      <c r="S48" s="179" t="s">
        <v>807</v>
      </c>
      <c r="T48" s="115"/>
      <c r="U48" s="115"/>
    </row>
    <row r="49" spans="1:21" ht="127.5">
      <c r="A49" s="319"/>
      <c r="B49" s="365"/>
      <c r="C49" s="9" t="s">
        <v>231</v>
      </c>
      <c r="D49" s="124">
        <v>9.2499999999999995E-3</v>
      </c>
      <c r="E49" s="110" t="s">
        <v>112</v>
      </c>
      <c r="F49" s="125">
        <v>590</v>
      </c>
      <c r="G49" s="9" t="s">
        <v>205</v>
      </c>
      <c r="H49" s="108">
        <v>43101</v>
      </c>
      <c r="I49" s="110" t="s">
        <v>106</v>
      </c>
      <c r="J49" s="54">
        <v>0</v>
      </c>
      <c r="K49" s="54">
        <v>0</v>
      </c>
      <c r="L49" s="54">
        <v>0</v>
      </c>
      <c r="M49" s="125">
        <v>590</v>
      </c>
      <c r="N49" s="43">
        <v>0.13220338983050847</v>
      </c>
      <c r="O49" s="126" t="s">
        <v>580</v>
      </c>
      <c r="P49" s="170">
        <v>0.2288135593220339</v>
      </c>
      <c r="Q49" s="170" t="s">
        <v>808</v>
      </c>
      <c r="R49" s="188">
        <f>258/590</f>
        <v>0.43728813559322033</v>
      </c>
      <c r="S49" s="126" t="s">
        <v>852</v>
      </c>
      <c r="T49" s="115"/>
      <c r="U49" s="115"/>
    </row>
    <row r="50" spans="1:21" ht="357">
      <c r="A50" s="319"/>
      <c r="B50" s="365"/>
      <c r="C50" s="9" t="s">
        <v>232</v>
      </c>
      <c r="D50" s="124">
        <v>9.2499999999999995E-3</v>
      </c>
      <c r="E50" s="110" t="s">
        <v>112</v>
      </c>
      <c r="F50" s="125">
        <v>12</v>
      </c>
      <c r="G50" s="9" t="s">
        <v>226</v>
      </c>
      <c r="H50" s="108">
        <v>43101</v>
      </c>
      <c r="I50" s="110" t="s">
        <v>106</v>
      </c>
      <c r="J50" s="54">
        <v>0</v>
      </c>
      <c r="K50" s="54">
        <v>0</v>
      </c>
      <c r="L50" s="54">
        <v>0</v>
      </c>
      <c r="M50" s="125">
        <v>12</v>
      </c>
      <c r="N50" s="43">
        <v>0</v>
      </c>
      <c r="O50" s="126" t="s">
        <v>581</v>
      </c>
      <c r="P50" s="170">
        <v>0</v>
      </c>
      <c r="Q50" s="170" t="s">
        <v>809</v>
      </c>
      <c r="R50" s="43">
        <v>0</v>
      </c>
      <c r="S50" s="179" t="s">
        <v>853</v>
      </c>
      <c r="T50" s="115"/>
      <c r="U50" s="115"/>
    </row>
    <row r="51" spans="1:21" ht="126">
      <c r="A51" s="319"/>
      <c r="B51" s="365"/>
      <c r="C51" s="9" t="s">
        <v>233</v>
      </c>
      <c r="D51" s="124">
        <v>9.2499999999999995E-3</v>
      </c>
      <c r="E51" s="110" t="s">
        <v>112</v>
      </c>
      <c r="F51" s="125">
        <v>22824</v>
      </c>
      <c r="G51" s="9" t="s">
        <v>18</v>
      </c>
      <c r="H51" s="108">
        <v>43101</v>
      </c>
      <c r="I51" s="110" t="s">
        <v>106</v>
      </c>
      <c r="J51" s="54">
        <v>0</v>
      </c>
      <c r="K51" s="54">
        <v>0</v>
      </c>
      <c r="L51" s="54">
        <v>0</v>
      </c>
      <c r="M51" s="125">
        <v>22824</v>
      </c>
      <c r="N51" s="43">
        <v>0</v>
      </c>
      <c r="O51" s="126"/>
      <c r="P51" s="170">
        <v>0.74660000000000004</v>
      </c>
      <c r="Q51" s="170" t="s">
        <v>810</v>
      </c>
      <c r="R51" s="43">
        <f>3598/3666</f>
        <v>0.98145117294053463</v>
      </c>
      <c r="S51" s="179" t="s">
        <v>854</v>
      </c>
      <c r="T51" s="115"/>
      <c r="U51" s="115"/>
    </row>
    <row r="52" spans="1:21" ht="267.75">
      <c r="A52" s="319"/>
      <c r="B52" s="365"/>
      <c r="C52" s="9" t="s">
        <v>234</v>
      </c>
      <c r="D52" s="124">
        <v>9.2499999999999995E-3</v>
      </c>
      <c r="E52" s="110" t="s">
        <v>112</v>
      </c>
      <c r="F52" s="125">
        <v>20</v>
      </c>
      <c r="G52" s="9" t="s">
        <v>228</v>
      </c>
      <c r="H52" s="108">
        <v>43101</v>
      </c>
      <c r="I52" s="110" t="s">
        <v>106</v>
      </c>
      <c r="J52" s="54">
        <v>0</v>
      </c>
      <c r="K52" s="54">
        <v>0</v>
      </c>
      <c r="L52" s="54">
        <v>0</v>
      </c>
      <c r="M52" s="125">
        <v>20</v>
      </c>
      <c r="N52" s="43">
        <v>0.2</v>
      </c>
      <c r="O52" s="126" t="s">
        <v>582</v>
      </c>
      <c r="P52" s="170">
        <v>0.1</v>
      </c>
      <c r="Q52" s="170" t="s">
        <v>811</v>
      </c>
      <c r="R52" s="43">
        <v>0.3</v>
      </c>
      <c r="S52" s="182" t="s">
        <v>855</v>
      </c>
      <c r="T52" s="115"/>
      <c r="U52" s="115"/>
    </row>
    <row r="53" spans="1:21" ht="220.5">
      <c r="A53" s="319"/>
      <c r="B53" s="365"/>
      <c r="C53" s="9" t="s">
        <v>235</v>
      </c>
      <c r="D53" s="124">
        <v>9.2499999999999995E-3</v>
      </c>
      <c r="E53" s="110" t="s">
        <v>112</v>
      </c>
      <c r="F53" s="125">
        <v>20</v>
      </c>
      <c r="G53" s="9" t="s">
        <v>228</v>
      </c>
      <c r="H53" s="108">
        <v>43101</v>
      </c>
      <c r="I53" s="110" t="s">
        <v>106</v>
      </c>
      <c r="J53" s="54">
        <v>0</v>
      </c>
      <c r="K53" s="54">
        <v>0</v>
      </c>
      <c r="L53" s="54">
        <v>0</v>
      </c>
      <c r="M53" s="125">
        <v>20</v>
      </c>
      <c r="N53" s="43">
        <v>0</v>
      </c>
      <c r="O53" s="126" t="s">
        <v>583</v>
      </c>
      <c r="P53" s="170">
        <v>0</v>
      </c>
      <c r="Q53" s="170" t="s">
        <v>812</v>
      </c>
      <c r="R53" s="188">
        <f>6/20</f>
        <v>0.3</v>
      </c>
      <c r="S53" s="172" t="s">
        <v>856</v>
      </c>
      <c r="T53" s="115"/>
      <c r="U53" s="115"/>
    </row>
    <row r="54" spans="1:21" ht="204.75">
      <c r="A54" s="319"/>
      <c r="B54" s="365"/>
      <c r="C54" s="9" t="s">
        <v>236</v>
      </c>
      <c r="D54" s="124">
        <v>9.2499999999999995E-3</v>
      </c>
      <c r="E54" s="110" t="s">
        <v>112</v>
      </c>
      <c r="F54" s="125">
        <v>95</v>
      </c>
      <c r="G54" s="9" t="s">
        <v>228</v>
      </c>
      <c r="H54" s="108">
        <v>43101</v>
      </c>
      <c r="I54" s="110" t="s">
        <v>106</v>
      </c>
      <c r="J54" s="54">
        <v>0</v>
      </c>
      <c r="K54" s="54">
        <v>0</v>
      </c>
      <c r="L54" s="54">
        <v>0</v>
      </c>
      <c r="M54" s="125">
        <v>95</v>
      </c>
      <c r="N54" s="43">
        <v>0.38947368421052631</v>
      </c>
      <c r="O54" s="126" t="s">
        <v>584</v>
      </c>
      <c r="P54" s="170">
        <v>0.91578947368421049</v>
      </c>
      <c r="Q54" s="170" t="s">
        <v>813</v>
      </c>
      <c r="R54" s="188">
        <f>89/95</f>
        <v>0.93684210526315792</v>
      </c>
      <c r="S54" s="172" t="s">
        <v>857</v>
      </c>
      <c r="T54" s="115"/>
      <c r="U54" s="115"/>
    </row>
    <row r="55" spans="1:21" ht="267.75">
      <c r="A55" s="319"/>
      <c r="B55" s="365"/>
      <c r="C55" s="9" t="s">
        <v>237</v>
      </c>
      <c r="D55" s="124">
        <v>9.2499999999999995E-3</v>
      </c>
      <c r="E55" s="110" t="s">
        <v>112</v>
      </c>
      <c r="F55" s="125">
        <v>60</v>
      </c>
      <c r="G55" s="9" t="s">
        <v>226</v>
      </c>
      <c r="H55" s="108">
        <v>43101</v>
      </c>
      <c r="I55" s="110" t="s">
        <v>106</v>
      </c>
      <c r="J55" s="54">
        <v>0</v>
      </c>
      <c r="K55" s="54">
        <v>0</v>
      </c>
      <c r="L55" s="54">
        <v>0</v>
      </c>
      <c r="M55" s="125">
        <v>60</v>
      </c>
      <c r="N55" s="43">
        <v>0.25</v>
      </c>
      <c r="O55" s="126" t="s">
        <v>585</v>
      </c>
      <c r="P55" s="170">
        <v>0.25</v>
      </c>
      <c r="Q55" s="170" t="s">
        <v>814</v>
      </c>
      <c r="R55" s="43">
        <f>26/60</f>
        <v>0.43333333333333335</v>
      </c>
      <c r="S55" s="172" t="s">
        <v>858</v>
      </c>
      <c r="T55" s="115"/>
      <c r="U55" s="115"/>
    </row>
    <row r="56" spans="1:21" ht="78.75">
      <c r="A56" s="319"/>
      <c r="B56" s="365"/>
      <c r="C56" s="9" t="s">
        <v>238</v>
      </c>
      <c r="D56" s="124">
        <v>9.2499999999999995E-3</v>
      </c>
      <c r="E56" s="110" t="s">
        <v>112</v>
      </c>
      <c r="F56" s="125">
        <v>1</v>
      </c>
      <c r="G56" s="9" t="s">
        <v>239</v>
      </c>
      <c r="H56" s="108">
        <v>43101</v>
      </c>
      <c r="I56" s="110" t="s">
        <v>106</v>
      </c>
      <c r="J56" s="54">
        <v>0</v>
      </c>
      <c r="K56" s="54">
        <v>0</v>
      </c>
      <c r="L56" s="54">
        <v>0</v>
      </c>
      <c r="M56" s="125">
        <v>1</v>
      </c>
      <c r="N56" s="43">
        <v>0</v>
      </c>
      <c r="O56" s="126" t="s">
        <v>586</v>
      </c>
      <c r="P56" s="170">
        <v>0</v>
      </c>
      <c r="Q56" s="170" t="s">
        <v>815</v>
      </c>
      <c r="R56" s="43">
        <v>0</v>
      </c>
      <c r="S56" s="172" t="s">
        <v>859</v>
      </c>
      <c r="T56" s="115"/>
      <c r="U56" s="115"/>
    </row>
    <row r="57" spans="1:21" ht="140.25">
      <c r="A57" s="319"/>
      <c r="B57" s="365"/>
      <c r="C57" s="9" t="s">
        <v>240</v>
      </c>
      <c r="D57" s="124">
        <v>9.2499999999999995E-3</v>
      </c>
      <c r="E57" s="110" t="s">
        <v>112</v>
      </c>
      <c r="F57" s="125">
        <v>3948</v>
      </c>
      <c r="G57" s="9" t="s">
        <v>241</v>
      </c>
      <c r="H57" s="108">
        <v>43101</v>
      </c>
      <c r="I57" s="110" t="s">
        <v>106</v>
      </c>
      <c r="J57" s="54">
        <v>0</v>
      </c>
      <c r="K57" s="54">
        <v>0</v>
      </c>
      <c r="L57" s="54">
        <v>0</v>
      </c>
      <c r="M57" s="125">
        <v>3948</v>
      </c>
      <c r="N57" s="43">
        <v>6.5856129685916923E-3</v>
      </c>
      <c r="O57" s="126" t="s">
        <v>587</v>
      </c>
      <c r="P57" s="170">
        <v>6.6362715298885516E-2</v>
      </c>
      <c r="Q57" s="170" t="s">
        <v>816</v>
      </c>
      <c r="R57" s="189">
        <f>938/3948</f>
        <v>0.23758865248226951</v>
      </c>
      <c r="S57" s="172" t="s">
        <v>860</v>
      </c>
      <c r="T57" s="115"/>
      <c r="U57" s="115"/>
    </row>
    <row r="58" spans="1:21" ht="127.5">
      <c r="A58" s="319"/>
      <c r="B58" s="365"/>
      <c r="C58" s="9" t="s">
        <v>242</v>
      </c>
      <c r="D58" s="124">
        <v>9.2499999999999995E-3</v>
      </c>
      <c r="E58" s="110" t="s">
        <v>112</v>
      </c>
      <c r="F58" s="125">
        <v>590</v>
      </c>
      <c r="G58" s="9" t="s">
        <v>243</v>
      </c>
      <c r="H58" s="108">
        <v>43101</v>
      </c>
      <c r="I58" s="110" t="s">
        <v>106</v>
      </c>
      <c r="J58" s="54">
        <v>0</v>
      </c>
      <c r="K58" s="54">
        <v>0</v>
      </c>
      <c r="L58" s="54">
        <v>0</v>
      </c>
      <c r="M58" s="125">
        <v>590</v>
      </c>
      <c r="N58" s="43">
        <v>0.67796610169491522</v>
      </c>
      <c r="O58" s="126" t="s">
        <v>588</v>
      </c>
      <c r="P58" s="170">
        <v>0.77457627118644068</v>
      </c>
      <c r="Q58" s="170" t="s">
        <v>817</v>
      </c>
      <c r="R58" s="189">
        <f>467/590</f>
        <v>0.79152542372881352</v>
      </c>
      <c r="S58" s="172" t="s">
        <v>861</v>
      </c>
      <c r="T58" s="115"/>
      <c r="U58" s="115"/>
    </row>
    <row r="59" spans="1:21" ht="51">
      <c r="A59" s="319"/>
      <c r="B59" s="365"/>
      <c r="C59" s="9" t="s">
        <v>244</v>
      </c>
      <c r="D59" s="124">
        <v>9.2499999999999995E-3</v>
      </c>
      <c r="E59" s="110" t="s">
        <v>112</v>
      </c>
      <c r="F59" s="125">
        <v>20000</v>
      </c>
      <c r="G59" s="9" t="s">
        <v>245</v>
      </c>
      <c r="H59" s="108">
        <v>43101</v>
      </c>
      <c r="I59" s="110" t="s">
        <v>106</v>
      </c>
      <c r="J59" s="54">
        <v>0</v>
      </c>
      <c r="K59" s="54">
        <v>0</v>
      </c>
      <c r="L59" s="54">
        <v>0</v>
      </c>
      <c r="M59" s="125">
        <v>20000</v>
      </c>
      <c r="N59" s="43">
        <v>0.11685</v>
      </c>
      <c r="O59" s="126" t="s">
        <v>589</v>
      </c>
      <c r="P59" s="170">
        <v>0.11685</v>
      </c>
      <c r="Q59" s="170" t="s">
        <v>589</v>
      </c>
      <c r="R59" s="188">
        <f>3685/20000</f>
        <v>0.18425</v>
      </c>
      <c r="S59" s="172" t="s">
        <v>862</v>
      </c>
      <c r="T59" s="115"/>
      <c r="U59" s="115"/>
    </row>
    <row r="60" spans="1:21" ht="102">
      <c r="A60" s="319"/>
      <c r="B60" s="365"/>
      <c r="C60" s="9" t="s">
        <v>246</v>
      </c>
      <c r="D60" s="124">
        <v>9.2499999999999995E-3</v>
      </c>
      <c r="E60" s="110" t="s">
        <v>112</v>
      </c>
      <c r="F60" s="125">
        <v>10</v>
      </c>
      <c r="G60" s="9" t="s">
        <v>247</v>
      </c>
      <c r="H60" s="108">
        <v>43101</v>
      </c>
      <c r="I60" s="110" t="s">
        <v>106</v>
      </c>
      <c r="J60" s="54">
        <v>0</v>
      </c>
      <c r="K60" s="54">
        <v>0</v>
      </c>
      <c r="L60" s="54">
        <v>0</v>
      </c>
      <c r="M60" s="125">
        <v>10</v>
      </c>
      <c r="N60" s="43">
        <v>0</v>
      </c>
      <c r="O60" s="126" t="s">
        <v>590</v>
      </c>
      <c r="P60" s="170">
        <v>0</v>
      </c>
      <c r="Q60" s="170" t="s">
        <v>818</v>
      </c>
      <c r="R60" s="192">
        <f>8/10</f>
        <v>0.8</v>
      </c>
      <c r="S60" s="179" t="s">
        <v>863</v>
      </c>
      <c r="T60" s="115"/>
      <c r="U60" s="115"/>
    </row>
    <row r="61" spans="1:21" ht="165.75">
      <c r="A61" s="319"/>
      <c r="B61" s="365"/>
      <c r="C61" s="9" t="s">
        <v>248</v>
      </c>
      <c r="D61" s="124">
        <v>9.2499999999999995E-3</v>
      </c>
      <c r="E61" s="110" t="s">
        <v>112</v>
      </c>
      <c r="F61" s="125">
        <v>3944</v>
      </c>
      <c r="G61" s="9" t="s">
        <v>249</v>
      </c>
      <c r="H61" s="108">
        <v>43101</v>
      </c>
      <c r="I61" s="110" t="s">
        <v>106</v>
      </c>
      <c r="J61" s="54">
        <v>0</v>
      </c>
      <c r="K61" s="54">
        <v>0</v>
      </c>
      <c r="L61" s="54">
        <v>0</v>
      </c>
      <c r="M61" s="125">
        <v>3944</v>
      </c>
      <c r="N61" s="43">
        <v>0</v>
      </c>
      <c r="O61" s="126" t="s">
        <v>591</v>
      </c>
      <c r="P61" s="170">
        <v>0</v>
      </c>
      <c r="Q61" s="170" t="s">
        <v>819</v>
      </c>
      <c r="R61" s="192">
        <v>0</v>
      </c>
      <c r="S61" s="179" t="s">
        <v>864</v>
      </c>
      <c r="T61" s="115"/>
      <c r="U61" s="115"/>
    </row>
    <row r="62" spans="1:21" ht="114.75">
      <c r="A62" s="319"/>
      <c r="B62" s="365"/>
      <c r="C62" s="9" t="s">
        <v>250</v>
      </c>
      <c r="D62" s="124">
        <v>9.2499999999999995E-3</v>
      </c>
      <c r="E62" s="110" t="s">
        <v>112</v>
      </c>
      <c r="F62" s="125">
        <v>5</v>
      </c>
      <c r="G62" s="9" t="s">
        <v>251</v>
      </c>
      <c r="H62" s="108">
        <v>43101</v>
      </c>
      <c r="I62" s="110" t="s">
        <v>106</v>
      </c>
      <c r="J62" s="54">
        <v>0</v>
      </c>
      <c r="K62" s="54">
        <v>0</v>
      </c>
      <c r="L62" s="54">
        <v>0</v>
      </c>
      <c r="M62" s="125">
        <v>5</v>
      </c>
      <c r="N62" s="43">
        <v>0</v>
      </c>
      <c r="O62" s="126" t="s">
        <v>592</v>
      </c>
      <c r="P62" s="170">
        <v>0.8</v>
      </c>
      <c r="Q62" s="170" t="s">
        <v>820</v>
      </c>
      <c r="R62" s="192">
        <f>5/5</f>
        <v>1</v>
      </c>
      <c r="S62" s="179" t="s">
        <v>865</v>
      </c>
      <c r="T62" s="115"/>
      <c r="U62" s="115"/>
    </row>
    <row r="63" spans="1:21" ht="78.75">
      <c r="A63" s="319"/>
      <c r="B63" s="365"/>
      <c r="C63" s="9" t="s">
        <v>252</v>
      </c>
      <c r="D63" s="124">
        <v>9.2499999999999995E-3</v>
      </c>
      <c r="E63" s="110" t="s">
        <v>112</v>
      </c>
      <c r="F63" s="125">
        <v>16574</v>
      </c>
      <c r="G63" s="9" t="s">
        <v>253</v>
      </c>
      <c r="H63" s="108">
        <v>43101</v>
      </c>
      <c r="I63" s="110" t="s">
        <v>106</v>
      </c>
      <c r="J63" s="54">
        <v>0</v>
      </c>
      <c r="K63" s="54">
        <v>0</v>
      </c>
      <c r="L63" s="54">
        <v>0</v>
      </c>
      <c r="M63" s="125">
        <v>16574</v>
      </c>
      <c r="N63" s="43">
        <v>0.33335344515506216</v>
      </c>
      <c r="O63" s="126" t="s">
        <v>593</v>
      </c>
      <c r="P63" s="170">
        <v>0.35465186436587426</v>
      </c>
      <c r="Q63" s="170" t="s">
        <v>821</v>
      </c>
      <c r="R63" s="192">
        <f>7495/16574</f>
        <v>0.45221431157234221</v>
      </c>
      <c r="S63" s="179" t="s">
        <v>866</v>
      </c>
      <c r="T63" s="115"/>
      <c r="U63" s="115"/>
    </row>
    <row r="64" spans="1:21" ht="89.25">
      <c r="A64" s="319"/>
      <c r="B64" s="365"/>
      <c r="C64" s="9" t="s">
        <v>254</v>
      </c>
      <c r="D64" s="124">
        <v>9.2499999999999995E-3</v>
      </c>
      <c r="E64" s="110" t="s">
        <v>112</v>
      </c>
      <c r="F64" s="125">
        <v>500</v>
      </c>
      <c r="G64" s="9" t="s">
        <v>255</v>
      </c>
      <c r="H64" s="108">
        <v>43101</v>
      </c>
      <c r="I64" s="110" t="s">
        <v>106</v>
      </c>
      <c r="J64" s="54">
        <v>0</v>
      </c>
      <c r="K64" s="54">
        <v>0</v>
      </c>
      <c r="L64" s="54">
        <v>0</v>
      </c>
      <c r="M64" s="125">
        <v>500</v>
      </c>
      <c r="N64" s="43">
        <v>0</v>
      </c>
      <c r="O64" s="126" t="s">
        <v>594</v>
      </c>
      <c r="P64" s="170">
        <v>0</v>
      </c>
      <c r="Q64" s="170" t="s">
        <v>818</v>
      </c>
      <c r="R64" s="192">
        <v>0</v>
      </c>
      <c r="S64" s="179" t="s">
        <v>867</v>
      </c>
      <c r="T64" s="115"/>
      <c r="U64" s="115"/>
    </row>
    <row r="65" spans="1:21" ht="110.25">
      <c r="A65" s="319"/>
      <c r="B65" s="365"/>
      <c r="C65" s="9" t="s">
        <v>256</v>
      </c>
      <c r="D65" s="124">
        <v>9.2499999999999995E-3</v>
      </c>
      <c r="E65" s="110" t="s">
        <v>112</v>
      </c>
      <c r="F65" s="125">
        <v>350</v>
      </c>
      <c r="G65" s="9" t="s">
        <v>257</v>
      </c>
      <c r="H65" s="108">
        <v>43101</v>
      </c>
      <c r="I65" s="110" t="s">
        <v>106</v>
      </c>
      <c r="J65" s="54">
        <v>0</v>
      </c>
      <c r="K65" s="54">
        <v>0</v>
      </c>
      <c r="L65" s="54">
        <v>0</v>
      </c>
      <c r="M65" s="125">
        <v>350</v>
      </c>
      <c r="N65" s="43">
        <v>0</v>
      </c>
      <c r="O65" s="126" t="s">
        <v>595</v>
      </c>
      <c r="P65" s="170">
        <v>0</v>
      </c>
      <c r="Q65" s="170" t="s">
        <v>818</v>
      </c>
      <c r="R65" s="192">
        <f>38/350</f>
        <v>0.10857142857142857</v>
      </c>
      <c r="S65" s="172" t="s">
        <v>868</v>
      </c>
      <c r="T65" s="115"/>
      <c r="U65" s="115"/>
    </row>
    <row r="66" spans="1:21" ht="126">
      <c r="A66" s="319"/>
      <c r="B66" s="365"/>
      <c r="C66" s="9" t="s">
        <v>258</v>
      </c>
      <c r="D66" s="124">
        <v>9.2499999999999995E-3</v>
      </c>
      <c r="E66" s="110" t="s">
        <v>112</v>
      </c>
      <c r="F66" s="125">
        <v>2805</v>
      </c>
      <c r="G66" s="9" t="s">
        <v>258</v>
      </c>
      <c r="H66" s="108">
        <v>43101</v>
      </c>
      <c r="I66" s="110" t="s">
        <v>106</v>
      </c>
      <c r="J66" s="54">
        <v>0</v>
      </c>
      <c r="K66" s="54">
        <v>0</v>
      </c>
      <c r="L66" s="54">
        <v>0</v>
      </c>
      <c r="M66" s="125">
        <v>2805</v>
      </c>
      <c r="N66" s="43">
        <v>1.1023172905525846</v>
      </c>
      <c r="O66" s="126" t="s">
        <v>596</v>
      </c>
      <c r="P66" s="170">
        <v>1.4829736211031175</v>
      </c>
      <c r="Q66" s="170" t="s">
        <v>596</v>
      </c>
      <c r="R66" s="192">
        <f>8533/2085</f>
        <v>4.092565947242206</v>
      </c>
      <c r="S66" s="179" t="s">
        <v>869</v>
      </c>
      <c r="T66" s="115"/>
      <c r="U66" s="115"/>
    </row>
    <row r="67" spans="1:21" ht="63.75">
      <c r="A67" s="319"/>
      <c r="B67" s="365"/>
      <c r="C67" s="9" t="s">
        <v>259</v>
      </c>
      <c r="D67" s="124">
        <v>9.2499999999999995E-3</v>
      </c>
      <c r="E67" s="110" t="s">
        <v>112</v>
      </c>
      <c r="F67" s="125">
        <v>78417</v>
      </c>
      <c r="G67" s="9" t="s">
        <v>260</v>
      </c>
      <c r="H67" s="108">
        <v>43101</v>
      </c>
      <c r="I67" s="110" t="s">
        <v>106</v>
      </c>
      <c r="J67" s="54">
        <v>0</v>
      </c>
      <c r="K67" s="54">
        <v>0</v>
      </c>
      <c r="L67" s="54">
        <v>0</v>
      </c>
      <c r="M67" s="125">
        <v>78417</v>
      </c>
      <c r="N67" s="43">
        <v>0.8399454199982147</v>
      </c>
      <c r="O67" s="126" t="s">
        <v>597</v>
      </c>
      <c r="P67" s="170">
        <v>0.8399454199982147</v>
      </c>
      <c r="Q67" s="170" t="s">
        <v>597</v>
      </c>
      <c r="R67" s="192">
        <f>73017/78417</f>
        <v>0.93113738092505449</v>
      </c>
      <c r="S67" s="172" t="s">
        <v>870</v>
      </c>
      <c r="T67" s="115"/>
      <c r="U67" s="115"/>
    </row>
    <row r="68" spans="1:21" ht="78.75">
      <c r="A68" s="319"/>
      <c r="B68" s="365"/>
      <c r="C68" s="9" t="s">
        <v>261</v>
      </c>
      <c r="D68" s="124">
        <v>9.2499999999999995E-3</v>
      </c>
      <c r="E68" s="110" t="s">
        <v>112</v>
      </c>
      <c r="F68" s="125">
        <v>6422</v>
      </c>
      <c r="G68" s="9" t="s">
        <v>262</v>
      </c>
      <c r="H68" s="108">
        <v>43101</v>
      </c>
      <c r="I68" s="110" t="s">
        <v>106</v>
      </c>
      <c r="J68" s="54">
        <v>0</v>
      </c>
      <c r="K68" s="54">
        <v>0</v>
      </c>
      <c r="L68" s="54">
        <v>0</v>
      </c>
      <c r="M68" s="125">
        <v>6422</v>
      </c>
      <c r="N68" s="43">
        <v>0.10541887262535035</v>
      </c>
      <c r="O68" s="126" t="s">
        <v>598</v>
      </c>
      <c r="P68" s="170">
        <v>0.10541887262535035</v>
      </c>
      <c r="Q68" s="170" t="s">
        <v>598</v>
      </c>
      <c r="R68" s="192">
        <f>721/6422</f>
        <v>0.11227032077234507</v>
      </c>
      <c r="S68" s="172" t="s">
        <v>871</v>
      </c>
      <c r="T68" s="115"/>
      <c r="U68" s="115"/>
    </row>
    <row r="69" spans="1:21" ht="110.25">
      <c r="A69" s="319"/>
      <c r="B69" s="365"/>
      <c r="C69" s="9" t="s">
        <v>263</v>
      </c>
      <c r="D69" s="124">
        <v>9.2499999999999995E-3</v>
      </c>
      <c r="E69" s="110" t="s">
        <v>112</v>
      </c>
      <c r="F69" s="125">
        <v>1</v>
      </c>
      <c r="G69" s="9" t="s">
        <v>264</v>
      </c>
      <c r="H69" s="108">
        <v>43101</v>
      </c>
      <c r="I69" s="110" t="s">
        <v>106</v>
      </c>
      <c r="J69" s="54">
        <v>0</v>
      </c>
      <c r="K69" s="54">
        <v>0</v>
      </c>
      <c r="L69" s="54">
        <v>0</v>
      </c>
      <c r="M69" s="125">
        <v>1</v>
      </c>
      <c r="N69" s="43">
        <v>0</v>
      </c>
      <c r="O69" s="126" t="s">
        <v>599</v>
      </c>
      <c r="P69" s="170">
        <v>0</v>
      </c>
      <c r="Q69" s="170" t="s">
        <v>818</v>
      </c>
      <c r="R69" s="192">
        <v>0</v>
      </c>
      <c r="S69" s="172" t="s">
        <v>872</v>
      </c>
      <c r="T69" s="115"/>
      <c r="U69" s="115"/>
    </row>
    <row r="70" spans="1:21" ht="157.5">
      <c r="A70" s="319"/>
      <c r="B70" s="365"/>
      <c r="C70" s="9" t="s">
        <v>265</v>
      </c>
      <c r="D70" s="124">
        <v>9.2499999999999995E-3</v>
      </c>
      <c r="E70" s="110" t="s">
        <v>112</v>
      </c>
      <c r="F70" s="125">
        <v>2</v>
      </c>
      <c r="G70" s="9" t="s">
        <v>266</v>
      </c>
      <c r="H70" s="108">
        <v>43101</v>
      </c>
      <c r="I70" s="110" t="s">
        <v>106</v>
      </c>
      <c r="J70" s="54">
        <v>0</v>
      </c>
      <c r="K70" s="54">
        <v>0</v>
      </c>
      <c r="L70" s="54">
        <v>0</v>
      </c>
      <c r="M70" s="125">
        <v>2</v>
      </c>
      <c r="N70" s="43">
        <v>0</v>
      </c>
      <c r="O70" s="126"/>
      <c r="P70" s="170">
        <v>0.5</v>
      </c>
      <c r="Q70" s="170" t="s">
        <v>822</v>
      </c>
      <c r="R70" s="192">
        <v>0</v>
      </c>
      <c r="S70" s="172" t="s">
        <v>873</v>
      </c>
      <c r="T70" s="115"/>
      <c r="U70" s="115"/>
    </row>
    <row r="71" spans="1:21" ht="78.75">
      <c r="A71" s="319"/>
      <c r="B71" s="365"/>
      <c r="C71" s="9" t="s">
        <v>267</v>
      </c>
      <c r="D71" s="124">
        <v>9.2499999999999995E-3</v>
      </c>
      <c r="E71" s="110" t="s">
        <v>112</v>
      </c>
      <c r="F71" s="125">
        <v>20</v>
      </c>
      <c r="G71" s="9" t="s">
        <v>267</v>
      </c>
      <c r="H71" s="108">
        <v>43101</v>
      </c>
      <c r="I71" s="110" t="s">
        <v>106</v>
      </c>
      <c r="J71" s="54">
        <v>0</v>
      </c>
      <c r="K71" s="54">
        <v>0</v>
      </c>
      <c r="L71" s="54">
        <v>0</v>
      </c>
      <c r="M71" s="125">
        <v>20</v>
      </c>
      <c r="N71" s="43">
        <v>0</v>
      </c>
      <c r="O71" s="126" t="s">
        <v>600</v>
      </c>
      <c r="P71" s="170">
        <v>1.4000000000000001</v>
      </c>
      <c r="Q71" s="170" t="s">
        <v>823</v>
      </c>
      <c r="R71" s="192">
        <f>38/20</f>
        <v>1.9</v>
      </c>
      <c r="S71" s="172" t="s">
        <v>874</v>
      </c>
      <c r="T71" s="115"/>
      <c r="U71" s="115"/>
    </row>
    <row r="72" spans="1:21" ht="283.5">
      <c r="A72" s="319"/>
      <c r="B72" s="365"/>
      <c r="C72" s="9" t="s">
        <v>268</v>
      </c>
      <c r="D72" s="124">
        <v>9.2499999999999995E-3</v>
      </c>
      <c r="E72" s="110" t="s">
        <v>105</v>
      </c>
      <c r="F72" s="124">
        <v>1</v>
      </c>
      <c r="G72" s="9" t="s">
        <v>268</v>
      </c>
      <c r="H72" s="108">
        <v>43101</v>
      </c>
      <c r="I72" s="110" t="s">
        <v>106</v>
      </c>
      <c r="J72" s="54">
        <v>0</v>
      </c>
      <c r="K72" s="54">
        <v>0</v>
      </c>
      <c r="L72" s="54">
        <v>0</v>
      </c>
      <c r="M72" s="128">
        <v>1</v>
      </c>
      <c r="N72" s="43">
        <v>0.9365</v>
      </c>
      <c r="O72" s="126" t="s">
        <v>601</v>
      </c>
      <c r="P72" s="170">
        <v>0.93650000000000011</v>
      </c>
      <c r="Q72" s="170" t="s">
        <v>824</v>
      </c>
      <c r="R72" s="193">
        <v>0.9365</v>
      </c>
      <c r="S72" s="172" t="s">
        <v>824</v>
      </c>
      <c r="T72" s="115"/>
      <c r="U72" s="115"/>
    </row>
    <row r="73" spans="1:21" ht="63">
      <c r="A73" s="319"/>
      <c r="B73" s="365"/>
      <c r="C73" s="9" t="s">
        <v>269</v>
      </c>
      <c r="D73" s="124">
        <v>9.2499999999999995E-3</v>
      </c>
      <c r="E73" s="110" t="s">
        <v>112</v>
      </c>
      <c r="F73" s="125">
        <v>12855</v>
      </c>
      <c r="G73" s="9" t="s">
        <v>270</v>
      </c>
      <c r="H73" s="108">
        <v>43101</v>
      </c>
      <c r="I73" s="110" t="s">
        <v>106</v>
      </c>
      <c r="J73" s="54">
        <v>0</v>
      </c>
      <c r="K73" s="54">
        <v>0</v>
      </c>
      <c r="L73" s="54">
        <v>0</v>
      </c>
      <c r="M73" s="125">
        <v>12855</v>
      </c>
      <c r="N73" s="43">
        <v>0.24644107351225203</v>
      </c>
      <c r="O73" s="126" t="s">
        <v>602</v>
      </c>
      <c r="P73" s="170">
        <v>0.28556981719175412</v>
      </c>
      <c r="Q73" s="170" t="s">
        <v>825</v>
      </c>
      <c r="R73" s="193">
        <f>3713/12855</f>
        <v>0.28883702839362113</v>
      </c>
      <c r="S73" s="172" t="s">
        <v>875</v>
      </c>
      <c r="T73" s="115"/>
      <c r="U73" s="115"/>
    </row>
    <row r="74" spans="1:21" ht="204">
      <c r="A74" s="319"/>
      <c r="B74" s="365"/>
      <c r="C74" s="9" t="s">
        <v>271</v>
      </c>
      <c r="D74" s="124">
        <v>9.2499999999999995E-3</v>
      </c>
      <c r="E74" s="110" t="s">
        <v>112</v>
      </c>
      <c r="F74" s="125">
        <v>95</v>
      </c>
      <c r="G74" s="9" t="s">
        <v>272</v>
      </c>
      <c r="H74" s="108">
        <v>43101</v>
      </c>
      <c r="I74" s="110" t="s">
        <v>106</v>
      </c>
      <c r="J74" s="54">
        <v>0</v>
      </c>
      <c r="K74" s="54">
        <v>0</v>
      </c>
      <c r="L74" s="54">
        <v>0</v>
      </c>
      <c r="M74" s="125">
        <v>95</v>
      </c>
      <c r="N74" s="43">
        <v>0.2</v>
      </c>
      <c r="O74" s="126" t="s">
        <v>603</v>
      </c>
      <c r="P74" s="170">
        <v>0.89473684210526316</v>
      </c>
      <c r="Q74" s="170" t="s">
        <v>826</v>
      </c>
      <c r="R74" s="193">
        <f>91/95</f>
        <v>0.95789473684210524</v>
      </c>
      <c r="S74" s="172" t="s">
        <v>876</v>
      </c>
      <c r="T74" s="115"/>
      <c r="U74" s="115"/>
    </row>
    <row r="75" spans="1:21" ht="178.5">
      <c r="A75" s="319"/>
      <c r="B75" s="365"/>
      <c r="C75" s="9" t="s">
        <v>273</v>
      </c>
      <c r="D75" s="124">
        <v>9.2499999999999995E-3</v>
      </c>
      <c r="E75" s="110" t="s">
        <v>112</v>
      </c>
      <c r="F75" s="125">
        <v>100</v>
      </c>
      <c r="G75" s="9" t="s">
        <v>274</v>
      </c>
      <c r="H75" s="108">
        <v>43101</v>
      </c>
      <c r="I75" s="110" t="s">
        <v>106</v>
      </c>
      <c r="J75" s="54">
        <v>0</v>
      </c>
      <c r="K75" s="54">
        <v>0</v>
      </c>
      <c r="L75" s="54">
        <v>0</v>
      </c>
      <c r="M75" s="125">
        <v>100</v>
      </c>
      <c r="N75" s="43">
        <v>0.25</v>
      </c>
      <c r="O75" s="126" t="s">
        <v>604</v>
      </c>
      <c r="P75" s="170">
        <v>0.5</v>
      </c>
      <c r="Q75" s="170" t="s">
        <v>827</v>
      </c>
      <c r="R75" s="193">
        <f>75/100</f>
        <v>0.75</v>
      </c>
      <c r="S75" s="172" t="s">
        <v>877</v>
      </c>
      <c r="T75" s="115"/>
      <c r="U75" s="115"/>
    </row>
    <row r="76" spans="1:21" ht="189">
      <c r="A76" s="319"/>
      <c r="B76" s="365"/>
      <c r="C76" s="9" t="s">
        <v>275</v>
      </c>
      <c r="D76" s="124">
        <v>9.2499999999999995E-3</v>
      </c>
      <c r="E76" s="110" t="s">
        <v>112</v>
      </c>
      <c r="F76" s="125">
        <v>132384</v>
      </c>
      <c r="G76" s="9" t="s">
        <v>276</v>
      </c>
      <c r="H76" s="108">
        <v>43101</v>
      </c>
      <c r="I76" s="110" t="s">
        <v>106</v>
      </c>
      <c r="J76" s="54">
        <v>0</v>
      </c>
      <c r="K76" s="54">
        <v>0</v>
      </c>
      <c r="L76" s="54">
        <v>0</v>
      </c>
      <c r="M76" s="125">
        <v>132384</v>
      </c>
      <c r="N76" s="43">
        <v>0.33930837563451777</v>
      </c>
      <c r="O76" s="126" t="s">
        <v>605</v>
      </c>
      <c r="P76" s="170">
        <v>0.34869017403915881</v>
      </c>
      <c r="Q76" s="170" t="s">
        <v>828</v>
      </c>
      <c r="R76" s="193">
        <f>58285/132384</f>
        <v>0.44027223833695917</v>
      </c>
      <c r="S76" s="172" t="s">
        <v>878</v>
      </c>
      <c r="T76" s="115"/>
      <c r="U76" s="115"/>
    </row>
    <row r="77" spans="1:21" ht="94.5">
      <c r="A77" s="319"/>
      <c r="B77" s="365"/>
      <c r="C77" s="9" t="s">
        <v>277</v>
      </c>
      <c r="D77" s="124">
        <v>9.2499999999999995E-3</v>
      </c>
      <c r="E77" s="110" t="s">
        <v>112</v>
      </c>
      <c r="F77" s="125">
        <v>20000</v>
      </c>
      <c r="G77" s="9" t="s">
        <v>278</v>
      </c>
      <c r="H77" s="108">
        <v>43101</v>
      </c>
      <c r="I77" s="110" t="s">
        <v>106</v>
      </c>
      <c r="J77" s="54">
        <v>0</v>
      </c>
      <c r="K77" s="54">
        <v>0</v>
      </c>
      <c r="L77" s="54">
        <v>0</v>
      </c>
      <c r="M77" s="125">
        <v>20000</v>
      </c>
      <c r="N77" s="43">
        <v>7.9000000000000008E-3</v>
      </c>
      <c r="O77" s="126" t="s">
        <v>606</v>
      </c>
      <c r="P77" s="170">
        <v>4.9450000000000001E-2</v>
      </c>
      <c r="Q77" s="170" t="s">
        <v>829</v>
      </c>
      <c r="R77" s="193">
        <f>3037/20000</f>
        <v>0.15185000000000001</v>
      </c>
      <c r="S77" s="172" t="s">
        <v>879</v>
      </c>
      <c r="T77" s="115"/>
      <c r="U77" s="115"/>
    </row>
    <row r="78" spans="1:21" ht="126">
      <c r="A78" s="319"/>
      <c r="B78" s="365"/>
      <c r="C78" s="9" t="s">
        <v>279</v>
      </c>
      <c r="D78" s="124">
        <v>9.2499999999999995E-3</v>
      </c>
      <c r="E78" s="110" t="s">
        <v>112</v>
      </c>
      <c r="F78" s="125">
        <v>50</v>
      </c>
      <c r="G78" s="9" t="s">
        <v>280</v>
      </c>
      <c r="H78" s="108">
        <v>43101</v>
      </c>
      <c r="I78" s="110" t="s">
        <v>106</v>
      </c>
      <c r="J78" s="54">
        <v>0</v>
      </c>
      <c r="K78" s="54">
        <v>0</v>
      </c>
      <c r="L78" s="54">
        <v>0</v>
      </c>
      <c r="M78" s="125">
        <v>50</v>
      </c>
      <c r="N78" s="43">
        <v>0</v>
      </c>
      <c r="O78" s="126" t="s">
        <v>599</v>
      </c>
      <c r="P78" s="170">
        <v>0</v>
      </c>
      <c r="Q78" s="170" t="s">
        <v>830</v>
      </c>
      <c r="R78" s="193">
        <v>0</v>
      </c>
      <c r="S78" s="172" t="s">
        <v>880</v>
      </c>
      <c r="T78" s="115"/>
      <c r="U78" s="115"/>
    </row>
    <row r="79" spans="1:21" ht="178.5">
      <c r="A79" s="319"/>
      <c r="B79" s="365"/>
      <c r="C79" s="9" t="s">
        <v>281</v>
      </c>
      <c r="D79" s="124">
        <v>9.2499999999999995E-3</v>
      </c>
      <c r="E79" s="110" t="s">
        <v>112</v>
      </c>
      <c r="F79" s="125">
        <v>8100</v>
      </c>
      <c r="G79" s="9" t="s">
        <v>282</v>
      </c>
      <c r="H79" s="108">
        <v>43101</v>
      </c>
      <c r="I79" s="110" t="s">
        <v>106</v>
      </c>
      <c r="J79" s="54">
        <v>0</v>
      </c>
      <c r="K79" s="54">
        <v>0</v>
      </c>
      <c r="L79" s="54">
        <v>0</v>
      </c>
      <c r="M79" s="125">
        <v>8100</v>
      </c>
      <c r="N79" s="43">
        <v>0.71234567901234569</v>
      </c>
      <c r="O79" s="126" t="s">
        <v>607</v>
      </c>
      <c r="P79" s="170">
        <v>0.71234567901234569</v>
      </c>
      <c r="Q79" s="170" t="s">
        <v>831</v>
      </c>
      <c r="R79" s="193">
        <f>5948/8100</f>
        <v>0.73432098765432097</v>
      </c>
      <c r="S79" s="172" t="s">
        <v>881</v>
      </c>
      <c r="T79" s="115"/>
      <c r="U79" s="115"/>
    </row>
    <row r="80" spans="1:21">
      <c r="A80" s="76"/>
      <c r="B80" s="76"/>
      <c r="C80" s="76"/>
      <c r="D80" s="77">
        <f>SUM(D26:D79)</f>
        <v>0.49949999999999956</v>
      </c>
      <c r="E80" s="76"/>
      <c r="F80" s="59"/>
      <c r="G80" s="76"/>
      <c r="H80" s="76"/>
      <c r="I80" s="76"/>
      <c r="J80" s="76"/>
      <c r="K80" s="76"/>
      <c r="L80" s="76"/>
      <c r="M80" s="76"/>
      <c r="N80" s="72"/>
      <c r="O80" s="72"/>
      <c r="P80" s="72"/>
      <c r="Q80" s="72"/>
      <c r="R80" s="72"/>
      <c r="S80" s="72"/>
      <c r="T80" s="72"/>
      <c r="U80" s="72"/>
    </row>
    <row r="81" spans="1:21" ht="33.75">
      <c r="A81" s="316" t="s">
        <v>515</v>
      </c>
      <c r="B81" s="316"/>
      <c r="C81" s="316"/>
      <c r="D81" s="316"/>
      <c r="E81" s="316"/>
      <c r="F81" s="316"/>
      <c r="G81" s="316"/>
      <c r="H81" s="316"/>
      <c r="I81" s="316"/>
      <c r="J81" s="316"/>
      <c r="K81" s="316"/>
      <c r="L81" s="316"/>
      <c r="M81" s="316"/>
      <c r="N81" s="316"/>
      <c r="O81" s="316"/>
      <c r="P81" s="316"/>
      <c r="Q81" s="316"/>
      <c r="R81" s="316"/>
      <c r="S81" s="316"/>
      <c r="T81" s="316"/>
      <c r="U81" s="316"/>
    </row>
    <row r="82" spans="1:21" ht="18.75">
      <c r="A82" s="339" t="s">
        <v>103</v>
      </c>
      <c r="B82" s="339" t="s">
        <v>74</v>
      </c>
      <c r="C82" s="339" t="s">
        <v>65</v>
      </c>
      <c r="D82" s="339" t="s">
        <v>66</v>
      </c>
      <c r="E82" s="339" t="s">
        <v>67</v>
      </c>
      <c r="F82" s="340" t="s">
        <v>68</v>
      </c>
      <c r="G82" s="339" t="s">
        <v>69</v>
      </c>
      <c r="H82" s="341" t="s">
        <v>70</v>
      </c>
      <c r="I82" s="341"/>
      <c r="J82" s="341" t="s">
        <v>79</v>
      </c>
      <c r="K82" s="341"/>
      <c r="L82" s="341"/>
      <c r="M82" s="341"/>
      <c r="N82" s="331" t="s">
        <v>511</v>
      </c>
      <c r="O82" s="331"/>
      <c r="P82" s="331"/>
      <c r="Q82" s="331"/>
      <c r="R82" s="331"/>
      <c r="S82" s="331"/>
      <c r="T82" s="331"/>
      <c r="U82" s="331"/>
    </row>
    <row r="83" spans="1:21" ht="15.75">
      <c r="A83" s="339"/>
      <c r="B83" s="339"/>
      <c r="C83" s="339"/>
      <c r="D83" s="339"/>
      <c r="E83" s="339"/>
      <c r="F83" s="340"/>
      <c r="G83" s="339"/>
      <c r="H83" s="332" t="s">
        <v>71</v>
      </c>
      <c r="I83" s="332" t="s">
        <v>197</v>
      </c>
      <c r="J83" s="15" t="s">
        <v>75</v>
      </c>
      <c r="K83" s="15" t="s">
        <v>76</v>
      </c>
      <c r="L83" s="15" t="s">
        <v>77</v>
      </c>
      <c r="M83" s="15" t="s">
        <v>78</v>
      </c>
      <c r="N83" s="333" t="s">
        <v>75</v>
      </c>
      <c r="O83" s="333"/>
      <c r="P83" s="333" t="s">
        <v>76</v>
      </c>
      <c r="Q83" s="333"/>
      <c r="R83" s="333" t="s">
        <v>77</v>
      </c>
      <c r="S83" s="333"/>
      <c r="T83" s="333" t="s">
        <v>78</v>
      </c>
      <c r="U83" s="333"/>
    </row>
    <row r="84" spans="1:21" ht="31.5">
      <c r="A84" s="339"/>
      <c r="B84" s="339"/>
      <c r="C84" s="339"/>
      <c r="D84" s="339"/>
      <c r="E84" s="339"/>
      <c r="F84" s="340"/>
      <c r="G84" s="339"/>
      <c r="H84" s="332"/>
      <c r="I84" s="332"/>
      <c r="J84" s="101" t="s">
        <v>64</v>
      </c>
      <c r="K84" s="55" t="s">
        <v>64</v>
      </c>
      <c r="L84" s="55" t="s">
        <v>64</v>
      </c>
      <c r="M84" s="55" t="s">
        <v>64</v>
      </c>
      <c r="N84" s="185" t="s">
        <v>514</v>
      </c>
      <c r="O84" s="185" t="s">
        <v>513</v>
      </c>
      <c r="P84" s="185" t="s">
        <v>514</v>
      </c>
      <c r="Q84" s="185" t="s">
        <v>513</v>
      </c>
      <c r="R84" s="185" t="s">
        <v>514</v>
      </c>
      <c r="S84" s="185" t="s">
        <v>513</v>
      </c>
      <c r="T84" s="185" t="s">
        <v>514</v>
      </c>
      <c r="U84" s="185" t="s">
        <v>513</v>
      </c>
    </row>
    <row r="85" spans="1:21" ht="33.75">
      <c r="A85" s="316" t="s">
        <v>283</v>
      </c>
      <c r="B85" s="316"/>
      <c r="C85" s="316"/>
      <c r="D85" s="316"/>
      <c r="E85" s="316"/>
      <c r="F85" s="316"/>
      <c r="G85" s="316"/>
      <c r="H85" s="316"/>
      <c r="I85" s="316"/>
      <c r="J85" s="316"/>
      <c r="K85" s="316"/>
      <c r="L85" s="316"/>
      <c r="M85" s="316"/>
      <c r="N85" s="316"/>
      <c r="O85" s="316"/>
      <c r="P85" s="316"/>
      <c r="Q85" s="316"/>
      <c r="R85" s="316"/>
      <c r="S85" s="316"/>
      <c r="T85" s="316"/>
      <c r="U85" s="316"/>
    </row>
    <row r="86" spans="1:21" ht="25.5">
      <c r="A86" s="366" t="s">
        <v>199</v>
      </c>
      <c r="B86" s="354" t="s">
        <v>284</v>
      </c>
      <c r="C86" s="324" t="s">
        <v>285</v>
      </c>
      <c r="D86" s="334">
        <v>2.2700000000000001E-2</v>
      </c>
      <c r="E86" s="334" t="s">
        <v>112</v>
      </c>
      <c r="F86" s="336">
        <v>590</v>
      </c>
      <c r="G86" s="56" t="s">
        <v>286</v>
      </c>
      <c r="H86" s="367">
        <v>43101</v>
      </c>
      <c r="I86" s="367" t="s">
        <v>106</v>
      </c>
      <c r="J86" s="334"/>
      <c r="K86" s="334"/>
      <c r="L86" s="334"/>
      <c r="M86" s="336">
        <v>590</v>
      </c>
      <c r="N86" s="346">
        <f>400/M86</f>
        <v>0.67796610169491522</v>
      </c>
      <c r="O86" s="335" t="s">
        <v>588</v>
      </c>
      <c r="P86" s="334">
        <v>0.79149999999999998</v>
      </c>
      <c r="Q86" s="335" t="s">
        <v>747</v>
      </c>
      <c r="R86" s="342">
        <f>1207/M86</f>
        <v>2.0457627118644068</v>
      </c>
      <c r="S86" s="344" t="s">
        <v>882</v>
      </c>
      <c r="T86" s="334"/>
      <c r="U86" s="336"/>
    </row>
    <row r="87" spans="1:21" ht="25.5">
      <c r="A87" s="366"/>
      <c r="B87" s="354"/>
      <c r="C87" s="324"/>
      <c r="D87" s="324"/>
      <c r="E87" s="324"/>
      <c r="F87" s="336"/>
      <c r="G87" s="56" t="s">
        <v>287</v>
      </c>
      <c r="H87" s="367"/>
      <c r="I87" s="367" t="s">
        <v>106</v>
      </c>
      <c r="J87" s="324"/>
      <c r="K87" s="324"/>
      <c r="L87" s="324"/>
      <c r="M87" s="336"/>
      <c r="N87" s="347"/>
      <c r="O87" s="364"/>
      <c r="P87" s="324"/>
      <c r="Q87" s="364"/>
      <c r="R87" s="343"/>
      <c r="S87" s="345"/>
      <c r="T87" s="324"/>
      <c r="U87" s="336"/>
    </row>
    <row r="88" spans="1:21" ht="25.5">
      <c r="A88" s="366"/>
      <c r="B88" s="354"/>
      <c r="C88" s="324"/>
      <c r="D88" s="324"/>
      <c r="E88" s="324"/>
      <c r="F88" s="336"/>
      <c r="G88" s="56" t="s">
        <v>288</v>
      </c>
      <c r="H88" s="367"/>
      <c r="I88" s="367" t="s">
        <v>106</v>
      </c>
      <c r="J88" s="324"/>
      <c r="K88" s="324"/>
      <c r="L88" s="324"/>
      <c r="M88" s="336"/>
      <c r="N88" s="347"/>
      <c r="O88" s="364"/>
      <c r="P88" s="324"/>
      <c r="Q88" s="364"/>
      <c r="R88" s="343"/>
      <c r="S88" s="345"/>
      <c r="T88" s="324"/>
      <c r="U88" s="336"/>
    </row>
    <row r="89" spans="1:21">
      <c r="A89" s="366"/>
      <c r="B89" s="354"/>
      <c r="C89" s="324"/>
      <c r="D89" s="324"/>
      <c r="E89" s="324"/>
      <c r="F89" s="336"/>
      <c r="G89" s="56" t="s">
        <v>289</v>
      </c>
      <c r="H89" s="367"/>
      <c r="I89" s="367" t="s">
        <v>106</v>
      </c>
      <c r="J89" s="324"/>
      <c r="K89" s="324"/>
      <c r="L89" s="324"/>
      <c r="M89" s="336"/>
      <c r="N89" s="347"/>
      <c r="O89" s="364"/>
      <c r="P89" s="324"/>
      <c r="Q89" s="364"/>
      <c r="R89" s="343"/>
      <c r="S89" s="345"/>
      <c r="T89" s="324"/>
      <c r="U89" s="336"/>
    </row>
    <row r="90" spans="1:21" ht="102">
      <c r="A90" s="366"/>
      <c r="B90" s="56" t="s">
        <v>290</v>
      </c>
      <c r="C90" s="57" t="s">
        <v>291</v>
      </c>
      <c r="D90" s="58">
        <v>2.2700000000000001E-2</v>
      </c>
      <c r="E90" s="57" t="s">
        <v>112</v>
      </c>
      <c r="F90" s="59">
        <v>20000</v>
      </c>
      <c r="G90" s="56" t="s">
        <v>292</v>
      </c>
      <c r="H90" s="23">
        <v>43101</v>
      </c>
      <c r="I90" s="23" t="s">
        <v>106</v>
      </c>
      <c r="J90" s="109"/>
      <c r="K90" s="58"/>
      <c r="L90" s="58"/>
      <c r="M90" s="59">
        <v>20000</v>
      </c>
      <c r="N90" s="129">
        <f>158/M90</f>
        <v>7.9000000000000008E-3</v>
      </c>
      <c r="O90" s="130" t="s">
        <v>606</v>
      </c>
      <c r="P90" s="148">
        <v>0.1487</v>
      </c>
      <c r="Q90" s="149" t="s">
        <v>748</v>
      </c>
      <c r="R90" s="174">
        <f>3705/M90</f>
        <v>0.18525</v>
      </c>
      <c r="S90" s="175" t="s">
        <v>883</v>
      </c>
      <c r="T90" s="58"/>
      <c r="U90" s="59"/>
    </row>
    <row r="91" spans="1:21" ht="102">
      <c r="A91" s="366"/>
      <c r="B91" s="56" t="s">
        <v>293</v>
      </c>
      <c r="C91" s="57" t="s">
        <v>294</v>
      </c>
      <c r="D91" s="58">
        <v>2.2700000000000001E-2</v>
      </c>
      <c r="E91" s="57" t="s">
        <v>112</v>
      </c>
      <c r="F91" s="59">
        <v>132384</v>
      </c>
      <c r="G91" s="56" t="s">
        <v>295</v>
      </c>
      <c r="H91" s="23">
        <v>43101</v>
      </c>
      <c r="I91" s="23" t="s">
        <v>106</v>
      </c>
      <c r="J91" s="109"/>
      <c r="K91" s="58"/>
      <c r="L91" s="58"/>
      <c r="M91" s="59">
        <v>132384</v>
      </c>
      <c r="N91" s="129">
        <f>44919/M91</f>
        <v>0.33930837563451777</v>
      </c>
      <c r="O91" s="130" t="s">
        <v>608</v>
      </c>
      <c r="P91" s="148">
        <v>0.35759999999999997</v>
      </c>
      <c r="Q91" s="149" t="s">
        <v>749</v>
      </c>
      <c r="R91" s="174">
        <f>88657/M91</f>
        <v>0.66969573362339863</v>
      </c>
      <c r="S91" s="175" t="s">
        <v>884</v>
      </c>
      <c r="T91" s="58"/>
      <c r="U91" s="59"/>
    </row>
    <row r="92" spans="1:21">
      <c r="A92" s="366"/>
      <c r="B92" s="354" t="s">
        <v>296</v>
      </c>
      <c r="C92" s="324" t="s">
        <v>297</v>
      </c>
      <c r="D92" s="334">
        <v>2.2700000000000001E-2</v>
      </c>
      <c r="E92" s="324" t="s">
        <v>112</v>
      </c>
      <c r="F92" s="336">
        <v>10</v>
      </c>
      <c r="G92" s="56" t="s">
        <v>298</v>
      </c>
      <c r="H92" s="367">
        <v>43101</v>
      </c>
      <c r="I92" s="367" t="s">
        <v>106</v>
      </c>
      <c r="J92" s="334"/>
      <c r="K92" s="334"/>
      <c r="L92" s="334"/>
      <c r="M92" s="336">
        <v>10</v>
      </c>
      <c r="N92" s="346">
        <v>0</v>
      </c>
      <c r="O92" s="335" t="s">
        <v>609</v>
      </c>
      <c r="P92" s="334">
        <v>0.7</v>
      </c>
      <c r="Q92" s="335" t="s">
        <v>750</v>
      </c>
      <c r="R92" s="342">
        <f>24/M92</f>
        <v>2.4</v>
      </c>
      <c r="S92" s="344" t="s">
        <v>885</v>
      </c>
      <c r="T92" s="334"/>
      <c r="U92" s="336"/>
    </row>
    <row r="93" spans="1:21">
      <c r="A93" s="366"/>
      <c r="B93" s="354"/>
      <c r="C93" s="324"/>
      <c r="D93" s="334"/>
      <c r="E93" s="324"/>
      <c r="F93" s="336"/>
      <c r="G93" s="56" t="s">
        <v>299</v>
      </c>
      <c r="H93" s="367"/>
      <c r="I93" s="367" t="s">
        <v>106</v>
      </c>
      <c r="J93" s="334"/>
      <c r="K93" s="334"/>
      <c r="L93" s="334"/>
      <c r="M93" s="336"/>
      <c r="N93" s="346"/>
      <c r="O93" s="335"/>
      <c r="P93" s="334"/>
      <c r="Q93" s="335"/>
      <c r="R93" s="342"/>
      <c r="S93" s="344"/>
      <c r="T93" s="334"/>
      <c r="U93" s="336"/>
    </row>
    <row r="94" spans="1:21" ht="114.75">
      <c r="A94" s="366"/>
      <c r="B94" s="56" t="s">
        <v>300</v>
      </c>
      <c r="C94" s="56" t="s">
        <v>301</v>
      </c>
      <c r="D94" s="58">
        <v>2.2700000000000001E-2</v>
      </c>
      <c r="E94" s="57" t="s">
        <v>112</v>
      </c>
      <c r="F94" s="59">
        <v>3948</v>
      </c>
      <c r="G94" s="56" t="s">
        <v>301</v>
      </c>
      <c r="H94" s="23">
        <v>43101</v>
      </c>
      <c r="I94" s="23" t="s">
        <v>106</v>
      </c>
      <c r="J94" s="109"/>
      <c r="K94" s="58"/>
      <c r="L94" s="58"/>
      <c r="M94" s="59">
        <v>3948</v>
      </c>
      <c r="N94" s="129">
        <f>26/M94</f>
        <v>6.5856129685916923E-3</v>
      </c>
      <c r="O94" s="130" t="s">
        <v>587</v>
      </c>
      <c r="P94" s="148">
        <v>0.21659999999999999</v>
      </c>
      <c r="Q94" s="149" t="s">
        <v>751</v>
      </c>
      <c r="R94" s="174">
        <f>970/M94</f>
        <v>0.24569402228976697</v>
      </c>
      <c r="S94" s="175" t="s">
        <v>886</v>
      </c>
      <c r="T94" s="58"/>
      <c r="U94" s="59"/>
    </row>
    <row r="95" spans="1:21" ht="51">
      <c r="A95" s="366"/>
      <c r="B95" s="56" t="s">
        <v>302</v>
      </c>
      <c r="C95" s="57" t="s">
        <v>303</v>
      </c>
      <c r="D95" s="58">
        <v>2.2700000000000001E-2</v>
      </c>
      <c r="E95" s="57" t="s">
        <v>112</v>
      </c>
      <c r="F95" s="59">
        <v>12855</v>
      </c>
      <c r="G95" s="56" t="s">
        <v>304</v>
      </c>
      <c r="H95" s="23">
        <v>43101</v>
      </c>
      <c r="I95" s="23" t="s">
        <v>106</v>
      </c>
      <c r="J95" s="109"/>
      <c r="K95" s="58"/>
      <c r="L95" s="58"/>
      <c r="M95" s="59">
        <v>12855</v>
      </c>
      <c r="N95" s="129">
        <f>3168/M95</f>
        <v>0.24644107351225203</v>
      </c>
      <c r="O95" s="130" t="s">
        <v>602</v>
      </c>
      <c r="P95" s="148">
        <v>0.2878</v>
      </c>
      <c r="Q95" s="149" t="s">
        <v>752</v>
      </c>
      <c r="R95" s="174">
        <f>6492/M95</f>
        <v>0.50501750291715286</v>
      </c>
      <c r="S95" s="175" t="s">
        <v>887</v>
      </c>
      <c r="T95" s="58"/>
      <c r="U95" s="59"/>
    </row>
    <row r="96" spans="1:21" ht="153">
      <c r="A96" s="366"/>
      <c r="B96" s="56" t="s">
        <v>305</v>
      </c>
      <c r="C96" s="56" t="s">
        <v>301</v>
      </c>
      <c r="D96" s="58">
        <v>2.2700000000000001E-2</v>
      </c>
      <c r="E96" s="57" t="s">
        <v>112</v>
      </c>
      <c r="F96" s="59">
        <v>3944</v>
      </c>
      <c r="G96" s="56" t="s">
        <v>306</v>
      </c>
      <c r="H96" s="23">
        <v>43101</v>
      </c>
      <c r="I96" s="23" t="s">
        <v>106</v>
      </c>
      <c r="J96" s="109"/>
      <c r="K96" s="58"/>
      <c r="L96" s="58"/>
      <c r="M96" s="59">
        <v>3944</v>
      </c>
      <c r="N96" s="129">
        <v>0</v>
      </c>
      <c r="O96" s="130" t="s">
        <v>591</v>
      </c>
      <c r="P96" s="148">
        <v>0</v>
      </c>
      <c r="Q96" s="149" t="s">
        <v>753</v>
      </c>
      <c r="R96" s="174">
        <v>0</v>
      </c>
      <c r="S96" s="175" t="s">
        <v>888</v>
      </c>
      <c r="T96" s="58"/>
      <c r="U96" s="59"/>
    </row>
    <row r="97" spans="1:21" ht="63.75">
      <c r="A97" s="366"/>
      <c r="B97" s="56" t="s">
        <v>307</v>
      </c>
      <c r="C97" s="57" t="s">
        <v>303</v>
      </c>
      <c r="D97" s="58">
        <v>2.2700000000000001E-2</v>
      </c>
      <c r="E97" s="57" t="s">
        <v>112</v>
      </c>
      <c r="F97" s="59">
        <v>16574</v>
      </c>
      <c r="G97" s="56" t="s">
        <v>308</v>
      </c>
      <c r="H97" s="23">
        <v>43101</v>
      </c>
      <c r="I97" s="23" t="s">
        <v>106</v>
      </c>
      <c r="J97" s="109"/>
      <c r="K97" s="58"/>
      <c r="L97" s="58"/>
      <c r="M97" s="59">
        <v>16574</v>
      </c>
      <c r="N97" s="129">
        <f>5525/M97</f>
        <v>0.33335344515506216</v>
      </c>
      <c r="O97" s="130" t="s">
        <v>593</v>
      </c>
      <c r="P97" s="148">
        <v>0.3967</v>
      </c>
      <c r="Q97" s="149" t="s">
        <v>754</v>
      </c>
      <c r="R97" s="174">
        <f>11239/M97</f>
        <v>0.67811029323036076</v>
      </c>
      <c r="S97" s="175" t="s">
        <v>889</v>
      </c>
      <c r="T97" s="58"/>
      <c r="U97" s="59"/>
    </row>
    <row r="98" spans="1:21">
      <c r="A98" s="366"/>
      <c r="B98" s="354" t="s">
        <v>309</v>
      </c>
      <c r="C98" s="354" t="s">
        <v>301</v>
      </c>
      <c r="D98" s="334">
        <v>2.2700000000000001E-2</v>
      </c>
      <c r="E98" s="324" t="s">
        <v>112</v>
      </c>
      <c r="F98" s="336">
        <v>5</v>
      </c>
      <c r="G98" s="56" t="s">
        <v>306</v>
      </c>
      <c r="H98" s="367">
        <v>43101</v>
      </c>
      <c r="I98" s="367" t="s">
        <v>106</v>
      </c>
      <c r="J98" s="334"/>
      <c r="K98" s="334"/>
      <c r="L98" s="334"/>
      <c r="M98" s="336">
        <v>5</v>
      </c>
      <c r="N98" s="346">
        <v>0</v>
      </c>
      <c r="O98" s="335" t="s">
        <v>592</v>
      </c>
      <c r="P98" s="334">
        <v>1</v>
      </c>
      <c r="Q98" s="335" t="s">
        <v>755</v>
      </c>
      <c r="R98" s="342">
        <f>10/M98</f>
        <v>2</v>
      </c>
      <c r="S98" s="344" t="s">
        <v>890</v>
      </c>
      <c r="T98" s="334"/>
      <c r="U98" s="336"/>
    </row>
    <row r="99" spans="1:21">
      <c r="A99" s="366"/>
      <c r="B99" s="354"/>
      <c r="C99" s="354"/>
      <c r="D99" s="334"/>
      <c r="E99" s="354"/>
      <c r="F99" s="336"/>
      <c r="G99" s="56" t="s">
        <v>289</v>
      </c>
      <c r="H99" s="367"/>
      <c r="I99" s="367" t="s">
        <v>106</v>
      </c>
      <c r="J99" s="334"/>
      <c r="K99" s="334"/>
      <c r="L99" s="334"/>
      <c r="M99" s="336"/>
      <c r="N99" s="346"/>
      <c r="O99" s="335"/>
      <c r="P99" s="334"/>
      <c r="Q99" s="335"/>
      <c r="R99" s="342"/>
      <c r="S99" s="344"/>
      <c r="T99" s="334"/>
      <c r="U99" s="336"/>
    </row>
    <row r="100" spans="1:21" ht="51">
      <c r="A100" s="366"/>
      <c r="B100" s="56" t="s">
        <v>310</v>
      </c>
      <c r="C100" s="57" t="s">
        <v>311</v>
      </c>
      <c r="D100" s="58">
        <v>2.2700000000000001E-2</v>
      </c>
      <c r="E100" s="57" t="s">
        <v>112</v>
      </c>
      <c r="F100" s="59">
        <v>13161</v>
      </c>
      <c r="G100" s="56" t="s">
        <v>312</v>
      </c>
      <c r="H100" s="23">
        <v>43101</v>
      </c>
      <c r="I100" s="23" t="s">
        <v>106</v>
      </c>
      <c r="J100" s="109"/>
      <c r="K100" s="58"/>
      <c r="L100" s="58"/>
      <c r="M100" s="59">
        <v>13161</v>
      </c>
      <c r="N100" s="131">
        <f>801/M100</f>
        <v>6.0861636653749718E-2</v>
      </c>
      <c r="O100" s="130" t="s">
        <v>610</v>
      </c>
      <c r="P100" s="148">
        <v>0.315</v>
      </c>
      <c r="Q100" s="149" t="s">
        <v>756</v>
      </c>
      <c r="R100" s="174">
        <f>5026/M100</f>
        <v>0.38188587493351567</v>
      </c>
      <c r="S100" s="175" t="s">
        <v>891</v>
      </c>
      <c r="T100" s="58"/>
      <c r="U100" s="59"/>
    </row>
    <row r="101" spans="1:21">
      <c r="A101" s="366"/>
      <c r="B101" s="354" t="s">
        <v>313</v>
      </c>
      <c r="C101" s="324" t="s">
        <v>291</v>
      </c>
      <c r="D101" s="334">
        <v>2.2700000000000001E-2</v>
      </c>
      <c r="E101" s="324" t="s">
        <v>112</v>
      </c>
      <c r="F101" s="336">
        <v>783</v>
      </c>
      <c r="G101" s="56" t="s">
        <v>292</v>
      </c>
      <c r="H101" s="367">
        <v>43101</v>
      </c>
      <c r="I101" s="367" t="s">
        <v>106</v>
      </c>
      <c r="J101" s="334"/>
      <c r="K101" s="334"/>
      <c r="L101" s="334"/>
      <c r="M101" s="336">
        <v>783</v>
      </c>
      <c r="N101" s="346">
        <v>0</v>
      </c>
      <c r="O101" s="335" t="s">
        <v>611</v>
      </c>
      <c r="P101" s="334">
        <v>6.2600000000000003E-2</v>
      </c>
      <c r="Q101" s="335" t="s">
        <v>757</v>
      </c>
      <c r="R101" s="334">
        <f>79/M101</f>
        <v>0.10089399744572158</v>
      </c>
      <c r="S101" s="335" t="s">
        <v>892</v>
      </c>
      <c r="T101" s="334"/>
      <c r="U101" s="336"/>
    </row>
    <row r="102" spans="1:21" ht="25.5">
      <c r="A102" s="366"/>
      <c r="B102" s="354"/>
      <c r="C102" s="324"/>
      <c r="D102" s="334"/>
      <c r="E102" s="324"/>
      <c r="F102" s="336"/>
      <c r="G102" s="56" t="s">
        <v>314</v>
      </c>
      <c r="H102" s="367"/>
      <c r="I102" s="367" t="s">
        <v>106</v>
      </c>
      <c r="J102" s="334"/>
      <c r="K102" s="334"/>
      <c r="L102" s="334"/>
      <c r="M102" s="336"/>
      <c r="N102" s="346"/>
      <c r="O102" s="335"/>
      <c r="P102" s="334"/>
      <c r="Q102" s="335"/>
      <c r="R102" s="334"/>
      <c r="S102" s="335"/>
      <c r="T102" s="334"/>
      <c r="U102" s="336"/>
    </row>
    <row r="103" spans="1:21">
      <c r="A103" s="366"/>
      <c r="B103" s="354"/>
      <c r="C103" s="324"/>
      <c r="D103" s="334"/>
      <c r="E103" s="324"/>
      <c r="F103" s="336"/>
      <c r="G103" s="56" t="s">
        <v>315</v>
      </c>
      <c r="H103" s="367"/>
      <c r="I103" s="367" t="s">
        <v>106</v>
      </c>
      <c r="J103" s="334"/>
      <c r="K103" s="334"/>
      <c r="L103" s="334"/>
      <c r="M103" s="336"/>
      <c r="N103" s="346"/>
      <c r="O103" s="335"/>
      <c r="P103" s="334"/>
      <c r="Q103" s="335"/>
      <c r="R103" s="334"/>
      <c r="S103" s="335"/>
      <c r="T103" s="334"/>
      <c r="U103" s="336"/>
    </row>
    <row r="104" spans="1:21" ht="38.25">
      <c r="A104" s="366"/>
      <c r="B104" s="56" t="s">
        <v>316</v>
      </c>
      <c r="C104" s="57" t="s">
        <v>317</v>
      </c>
      <c r="D104" s="58">
        <v>2.2700000000000001E-2</v>
      </c>
      <c r="E104" s="57" t="s">
        <v>112</v>
      </c>
      <c r="F104" s="59">
        <v>3351</v>
      </c>
      <c r="G104" s="56" t="s">
        <v>318</v>
      </c>
      <c r="H104" s="23">
        <v>43101</v>
      </c>
      <c r="I104" s="23" t="s">
        <v>106</v>
      </c>
      <c r="J104" s="109"/>
      <c r="K104" s="58"/>
      <c r="L104" s="58"/>
      <c r="M104" s="59">
        <v>3351</v>
      </c>
      <c r="N104" s="129">
        <f>291/M104</f>
        <v>8.6839749328558632E-2</v>
      </c>
      <c r="O104" s="130" t="s">
        <v>612</v>
      </c>
      <c r="P104" s="148">
        <v>9.3700000000000006E-2</v>
      </c>
      <c r="Q104" s="149" t="s">
        <v>758</v>
      </c>
      <c r="R104" s="174">
        <f>782/M104</f>
        <v>0.23336317517159058</v>
      </c>
      <c r="S104" s="175" t="s">
        <v>893</v>
      </c>
      <c r="T104" s="58"/>
      <c r="U104" s="59"/>
    </row>
    <row r="105" spans="1:21">
      <c r="A105" s="366"/>
      <c r="B105" s="354" t="s">
        <v>319</v>
      </c>
      <c r="C105" s="354" t="s">
        <v>320</v>
      </c>
      <c r="D105" s="334">
        <v>2.2700000000000001E-2</v>
      </c>
      <c r="E105" s="324" t="s">
        <v>112</v>
      </c>
      <c r="F105" s="336">
        <v>20</v>
      </c>
      <c r="G105" s="56" t="s">
        <v>320</v>
      </c>
      <c r="H105" s="367">
        <v>43101</v>
      </c>
      <c r="I105" s="367" t="s">
        <v>106</v>
      </c>
      <c r="J105" s="334"/>
      <c r="K105" s="334"/>
      <c r="L105" s="334"/>
      <c r="M105" s="336">
        <v>20</v>
      </c>
      <c r="N105" s="346">
        <v>0</v>
      </c>
      <c r="O105" s="335" t="s">
        <v>600</v>
      </c>
      <c r="P105" s="334">
        <v>0</v>
      </c>
      <c r="Q105" s="335" t="s">
        <v>759</v>
      </c>
      <c r="R105" s="334">
        <v>0</v>
      </c>
      <c r="S105" s="335" t="s">
        <v>894</v>
      </c>
      <c r="T105" s="334"/>
      <c r="U105" s="336"/>
    </row>
    <row r="106" spans="1:21">
      <c r="A106" s="366"/>
      <c r="B106" s="354"/>
      <c r="C106" s="354"/>
      <c r="D106" s="334"/>
      <c r="E106" s="354"/>
      <c r="F106" s="336"/>
      <c r="G106" s="56" t="s">
        <v>321</v>
      </c>
      <c r="H106" s="367"/>
      <c r="I106" s="367" t="s">
        <v>106</v>
      </c>
      <c r="J106" s="334"/>
      <c r="K106" s="334"/>
      <c r="L106" s="334"/>
      <c r="M106" s="336"/>
      <c r="N106" s="346"/>
      <c r="O106" s="335"/>
      <c r="P106" s="334"/>
      <c r="Q106" s="335"/>
      <c r="R106" s="334"/>
      <c r="S106" s="335"/>
      <c r="T106" s="334"/>
      <c r="U106" s="336"/>
    </row>
    <row r="107" spans="1:21" ht="76.5">
      <c r="A107" s="366"/>
      <c r="B107" s="56" t="s">
        <v>322</v>
      </c>
      <c r="C107" s="57" t="s">
        <v>323</v>
      </c>
      <c r="D107" s="58">
        <v>2.2700000000000001E-2</v>
      </c>
      <c r="E107" s="57" t="s">
        <v>112</v>
      </c>
      <c r="F107" s="59">
        <v>1</v>
      </c>
      <c r="G107" s="56" t="s">
        <v>324</v>
      </c>
      <c r="H107" s="23">
        <v>43101</v>
      </c>
      <c r="I107" s="23" t="s">
        <v>106</v>
      </c>
      <c r="J107" s="109"/>
      <c r="K107" s="58"/>
      <c r="L107" s="58"/>
      <c r="M107" s="59">
        <v>1</v>
      </c>
      <c r="N107" s="129">
        <v>0</v>
      </c>
      <c r="O107" s="130" t="s">
        <v>586</v>
      </c>
      <c r="P107" s="148">
        <v>0</v>
      </c>
      <c r="Q107" s="149" t="s">
        <v>760</v>
      </c>
      <c r="R107" s="174">
        <v>0</v>
      </c>
      <c r="S107" s="175" t="s">
        <v>895</v>
      </c>
      <c r="T107" s="58"/>
      <c r="U107" s="59"/>
    </row>
    <row r="108" spans="1:21" ht="25.5">
      <c r="A108" s="366"/>
      <c r="B108" s="354" t="s">
        <v>281</v>
      </c>
      <c r="C108" s="324" t="s">
        <v>325</v>
      </c>
      <c r="D108" s="334">
        <v>2.2700000000000001E-2</v>
      </c>
      <c r="E108" s="324" t="s">
        <v>112</v>
      </c>
      <c r="F108" s="336">
        <v>8100</v>
      </c>
      <c r="G108" s="56" t="s">
        <v>326</v>
      </c>
      <c r="H108" s="367">
        <v>43101</v>
      </c>
      <c r="I108" s="367" t="s">
        <v>106</v>
      </c>
      <c r="J108" s="334"/>
      <c r="K108" s="334"/>
      <c r="L108" s="334"/>
      <c r="M108" s="336">
        <v>8100</v>
      </c>
      <c r="N108" s="346">
        <f>5770/M108</f>
        <v>0.71234567901234569</v>
      </c>
      <c r="O108" s="335" t="s">
        <v>607</v>
      </c>
      <c r="P108" s="334">
        <v>0.73429999999999995</v>
      </c>
      <c r="Q108" s="335" t="s">
        <v>761</v>
      </c>
      <c r="R108" s="334">
        <f>7149/M108</f>
        <v>0.8825925925925926</v>
      </c>
      <c r="S108" s="335" t="s">
        <v>896</v>
      </c>
      <c r="T108" s="334"/>
      <c r="U108" s="336"/>
    </row>
    <row r="109" spans="1:21" ht="25.5">
      <c r="A109" s="366"/>
      <c r="B109" s="354"/>
      <c r="C109" s="324"/>
      <c r="D109" s="334"/>
      <c r="E109" s="324"/>
      <c r="F109" s="336"/>
      <c r="G109" s="56" t="s">
        <v>327</v>
      </c>
      <c r="H109" s="367"/>
      <c r="I109" s="367" t="s">
        <v>106</v>
      </c>
      <c r="J109" s="334"/>
      <c r="K109" s="334"/>
      <c r="L109" s="334"/>
      <c r="M109" s="336"/>
      <c r="N109" s="346"/>
      <c r="O109" s="335"/>
      <c r="P109" s="334"/>
      <c r="Q109" s="335"/>
      <c r="R109" s="334"/>
      <c r="S109" s="335"/>
      <c r="T109" s="334"/>
      <c r="U109" s="336"/>
    </row>
    <row r="110" spans="1:21">
      <c r="A110" s="366"/>
      <c r="B110" s="354"/>
      <c r="C110" s="324"/>
      <c r="D110" s="334"/>
      <c r="E110" s="324"/>
      <c r="F110" s="336"/>
      <c r="G110" s="56" t="s">
        <v>328</v>
      </c>
      <c r="H110" s="367"/>
      <c r="I110" s="367" t="s">
        <v>106</v>
      </c>
      <c r="J110" s="334"/>
      <c r="K110" s="334"/>
      <c r="L110" s="334"/>
      <c r="M110" s="336"/>
      <c r="N110" s="346"/>
      <c r="O110" s="335"/>
      <c r="P110" s="334"/>
      <c r="Q110" s="335"/>
      <c r="R110" s="334"/>
      <c r="S110" s="335"/>
      <c r="T110" s="334"/>
      <c r="U110" s="336"/>
    </row>
    <row r="111" spans="1:21" ht="25.5">
      <c r="A111" s="366"/>
      <c r="B111" s="354"/>
      <c r="C111" s="324"/>
      <c r="D111" s="334"/>
      <c r="E111" s="324"/>
      <c r="F111" s="336"/>
      <c r="G111" s="56" t="s">
        <v>329</v>
      </c>
      <c r="H111" s="367"/>
      <c r="I111" s="367" t="s">
        <v>106</v>
      </c>
      <c r="J111" s="334"/>
      <c r="K111" s="334"/>
      <c r="L111" s="334"/>
      <c r="M111" s="336"/>
      <c r="N111" s="346"/>
      <c r="O111" s="335"/>
      <c r="P111" s="334"/>
      <c r="Q111" s="335"/>
      <c r="R111" s="334"/>
      <c r="S111" s="335"/>
      <c r="T111" s="334"/>
      <c r="U111" s="336"/>
    </row>
    <row r="112" spans="1:21" ht="114.75">
      <c r="A112" s="366"/>
      <c r="B112" s="56" t="s">
        <v>330</v>
      </c>
      <c r="C112" s="57" t="s">
        <v>331</v>
      </c>
      <c r="D112" s="58">
        <v>2.2700000000000001E-2</v>
      </c>
      <c r="E112" s="57" t="s">
        <v>112</v>
      </c>
      <c r="F112" s="59">
        <v>500</v>
      </c>
      <c r="G112" s="56" t="s">
        <v>332</v>
      </c>
      <c r="H112" s="23">
        <v>43101</v>
      </c>
      <c r="I112" s="23" t="s">
        <v>106</v>
      </c>
      <c r="J112" s="109"/>
      <c r="K112" s="58"/>
      <c r="L112" s="58"/>
      <c r="M112" s="59">
        <v>500</v>
      </c>
      <c r="N112" s="129">
        <v>0</v>
      </c>
      <c r="O112" s="130" t="s">
        <v>613</v>
      </c>
      <c r="P112" s="148">
        <v>0</v>
      </c>
      <c r="Q112" s="149" t="s">
        <v>762</v>
      </c>
      <c r="R112" s="174">
        <v>0</v>
      </c>
      <c r="S112" s="175" t="s">
        <v>897</v>
      </c>
      <c r="T112" s="58"/>
      <c r="U112" s="59"/>
    </row>
    <row r="113" spans="1:21" ht="38.25">
      <c r="A113" s="366"/>
      <c r="B113" s="56" t="s">
        <v>333</v>
      </c>
      <c r="C113" s="57" t="s">
        <v>334</v>
      </c>
      <c r="D113" s="58">
        <v>2.2700000000000001E-2</v>
      </c>
      <c r="E113" s="57" t="s">
        <v>112</v>
      </c>
      <c r="F113" s="59">
        <v>6422</v>
      </c>
      <c r="G113" s="56" t="s">
        <v>335</v>
      </c>
      <c r="H113" s="23">
        <v>43101</v>
      </c>
      <c r="I113" s="23" t="s">
        <v>106</v>
      </c>
      <c r="J113" s="109"/>
      <c r="K113" s="58"/>
      <c r="L113" s="58"/>
      <c r="M113" s="59">
        <v>6422</v>
      </c>
      <c r="N113" s="129">
        <f>677/M113</f>
        <v>0.10541887262535035</v>
      </c>
      <c r="O113" s="130" t="s">
        <v>598</v>
      </c>
      <c r="P113" s="148">
        <v>0.1123</v>
      </c>
      <c r="Q113" s="149" t="s">
        <v>763</v>
      </c>
      <c r="R113" s="174">
        <f>3617/M113</f>
        <v>0.56322018062908752</v>
      </c>
      <c r="S113" s="175" t="s">
        <v>898</v>
      </c>
      <c r="T113" s="58"/>
      <c r="U113" s="59"/>
    </row>
    <row r="114" spans="1:21" ht="76.5">
      <c r="A114" s="366"/>
      <c r="B114" s="56" t="s">
        <v>336</v>
      </c>
      <c r="C114" s="57" t="s">
        <v>337</v>
      </c>
      <c r="D114" s="58">
        <v>2.2700000000000001E-2</v>
      </c>
      <c r="E114" s="57" t="s">
        <v>112</v>
      </c>
      <c r="F114" s="59">
        <v>350</v>
      </c>
      <c r="G114" s="56" t="s">
        <v>338</v>
      </c>
      <c r="H114" s="23">
        <v>43101</v>
      </c>
      <c r="I114" s="23" t="s">
        <v>106</v>
      </c>
      <c r="J114" s="109"/>
      <c r="K114" s="58"/>
      <c r="L114" s="58"/>
      <c r="M114" s="59">
        <v>350</v>
      </c>
      <c r="N114" s="129">
        <v>0</v>
      </c>
      <c r="O114" s="130" t="s">
        <v>595</v>
      </c>
      <c r="P114" s="148">
        <v>0.1086</v>
      </c>
      <c r="Q114" s="149" t="s">
        <v>764</v>
      </c>
      <c r="R114" s="174">
        <f>83/M114</f>
        <v>0.23714285714285716</v>
      </c>
      <c r="S114" s="175" t="s">
        <v>899</v>
      </c>
      <c r="T114" s="58"/>
      <c r="U114" s="59"/>
    </row>
    <row r="115" spans="1:21" ht="63.75">
      <c r="A115" s="366"/>
      <c r="B115" s="56" t="s">
        <v>339</v>
      </c>
      <c r="C115" s="57" t="s">
        <v>340</v>
      </c>
      <c r="D115" s="58">
        <v>2.2700000000000001E-2</v>
      </c>
      <c r="E115" s="57" t="s">
        <v>112</v>
      </c>
      <c r="F115" s="59">
        <v>20000</v>
      </c>
      <c r="G115" s="56" t="s">
        <v>341</v>
      </c>
      <c r="H115" s="23">
        <v>43101</v>
      </c>
      <c r="I115" s="23" t="s">
        <v>106</v>
      </c>
      <c r="J115" s="109"/>
      <c r="K115" s="58"/>
      <c r="L115" s="58"/>
      <c r="M115" s="59">
        <v>20000</v>
      </c>
      <c r="N115" s="129">
        <f>2337/M115</f>
        <v>0.11685</v>
      </c>
      <c r="O115" s="130" t="s">
        <v>589</v>
      </c>
      <c r="P115" s="148">
        <v>0.18429999999999999</v>
      </c>
      <c r="Q115" s="149" t="s">
        <v>765</v>
      </c>
      <c r="R115" s="174">
        <f>10398/M115</f>
        <v>0.51990000000000003</v>
      </c>
      <c r="S115" s="175" t="s">
        <v>900</v>
      </c>
      <c r="T115" s="58"/>
      <c r="U115" s="59"/>
    </row>
    <row r="116" spans="1:21" ht="51">
      <c r="A116" s="366"/>
      <c r="B116" s="56" t="s">
        <v>342</v>
      </c>
      <c r="C116" s="57" t="s">
        <v>343</v>
      </c>
      <c r="D116" s="58">
        <v>2.2700000000000001E-2</v>
      </c>
      <c r="E116" s="57" t="s">
        <v>112</v>
      </c>
      <c r="F116" s="59">
        <v>78417</v>
      </c>
      <c r="G116" s="56" t="s">
        <v>344</v>
      </c>
      <c r="H116" s="23">
        <v>43101</v>
      </c>
      <c r="I116" s="23" t="s">
        <v>106</v>
      </c>
      <c r="J116" s="109"/>
      <c r="K116" s="58"/>
      <c r="L116" s="58"/>
      <c r="M116" s="59">
        <v>78417</v>
      </c>
      <c r="N116" s="129">
        <f>65866/M116</f>
        <v>0.8399454199982147</v>
      </c>
      <c r="O116" s="130" t="s">
        <v>597</v>
      </c>
      <c r="P116" s="148">
        <v>0.93110000000000004</v>
      </c>
      <c r="Q116" s="149" t="s">
        <v>766</v>
      </c>
      <c r="R116" s="174">
        <f>130884/M116</f>
        <v>1.6690768583342896</v>
      </c>
      <c r="S116" s="175" t="s">
        <v>901</v>
      </c>
      <c r="T116" s="58"/>
      <c r="U116" s="59"/>
    </row>
    <row r="117" spans="1:21" ht="76.5">
      <c r="A117" s="366"/>
      <c r="B117" s="56" t="s">
        <v>345</v>
      </c>
      <c r="C117" s="57" t="s">
        <v>346</v>
      </c>
      <c r="D117" s="58">
        <v>2.2700000000000001E-2</v>
      </c>
      <c r="E117" s="57" t="s">
        <v>105</v>
      </c>
      <c r="F117" s="43">
        <v>1</v>
      </c>
      <c r="G117" s="56" t="s">
        <v>347</v>
      </c>
      <c r="H117" s="23">
        <v>43101</v>
      </c>
      <c r="I117" s="23" t="s">
        <v>106</v>
      </c>
      <c r="J117" s="109"/>
      <c r="K117" s="58"/>
      <c r="L117" s="58"/>
      <c r="M117" s="43">
        <v>1</v>
      </c>
      <c r="N117" s="129">
        <f>252234578340/269344538602</f>
        <v>0.93647556267222953</v>
      </c>
      <c r="O117" s="130" t="s">
        <v>614</v>
      </c>
      <c r="P117" s="148">
        <v>0.9365</v>
      </c>
      <c r="Q117" s="149" t="s">
        <v>601</v>
      </c>
      <c r="R117" s="174">
        <v>1</v>
      </c>
      <c r="S117" s="175" t="s">
        <v>902</v>
      </c>
      <c r="T117" s="58"/>
      <c r="U117" s="43"/>
    </row>
    <row r="118" spans="1:21" ht="51">
      <c r="A118" s="366"/>
      <c r="B118" s="56" t="s">
        <v>348</v>
      </c>
      <c r="C118" s="57" t="s">
        <v>343</v>
      </c>
      <c r="D118" s="58">
        <v>2.2700000000000001E-2</v>
      </c>
      <c r="E118" s="57" t="s">
        <v>112</v>
      </c>
      <c r="F118" s="59">
        <v>2085</v>
      </c>
      <c r="G118" s="56" t="s">
        <v>344</v>
      </c>
      <c r="H118" s="23">
        <v>43101</v>
      </c>
      <c r="I118" s="23" t="s">
        <v>106</v>
      </c>
      <c r="J118" s="109"/>
      <c r="K118" s="58"/>
      <c r="L118" s="58"/>
      <c r="M118" s="59">
        <v>2085</v>
      </c>
      <c r="N118" s="129">
        <f>3092/M118</f>
        <v>1.4829736211031175</v>
      </c>
      <c r="O118" s="130" t="s">
        <v>596</v>
      </c>
      <c r="P118" s="148">
        <v>2.8359999999999999</v>
      </c>
      <c r="Q118" s="149" t="s">
        <v>767</v>
      </c>
      <c r="R118" s="174">
        <f>8622/M118</f>
        <v>4.1352517985611508</v>
      </c>
      <c r="S118" s="175" t="s">
        <v>903</v>
      </c>
      <c r="T118" s="58"/>
      <c r="U118" s="59"/>
    </row>
    <row r="119" spans="1:21" ht="15.75">
      <c r="A119" s="79"/>
      <c r="B119" s="56"/>
      <c r="C119" s="57"/>
      <c r="D119" s="77">
        <f>SUM(D86:D118)</f>
        <v>0.49940000000000001</v>
      </c>
      <c r="E119" s="57"/>
      <c r="F119" s="59"/>
      <c r="G119" s="56"/>
      <c r="H119" s="23"/>
      <c r="I119" s="23"/>
      <c r="J119" s="109"/>
      <c r="K119" s="58"/>
      <c r="L119" s="58"/>
      <c r="M119" s="59"/>
      <c r="N119" s="72"/>
      <c r="O119" s="72"/>
      <c r="P119" s="72"/>
      <c r="Q119" s="72"/>
      <c r="R119" s="72"/>
      <c r="S119" s="72"/>
      <c r="T119" s="72"/>
      <c r="U119" s="72"/>
    </row>
    <row r="120" spans="1:21" ht="33.75">
      <c r="A120" s="316" t="s">
        <v>515</v>
      </c>
      <c r="B120" s="316"/>
      <c r="C120" s="316"/>
      <c r="D120" s="316"/>
      <c r="E120" s="316"/>
      <c r="F120" s="316"/>
      <c r="G120" s="316"/>
      <c r="H120" s="316"/>
      <c r="I120" s="316"/>
      <c r="J120" s="316"/>
      <c r="K120" s="316"/>
      <c r="L120" s="316"/>
      <c r="M120" s="316"/>
      <c r="N120" s="316"/>
      <c r="O120" s="316"/>
      <c r="P120" s="316"/>
      <c r="Q120" s="316"/>
      <c r="R120" s="316"/>
      <c r="S120" s="316"/>
      <c r="T120" s="316"/>
      <c r="U120" s="316"/>
    </row>
    <row r="121" spans="1:21" ht="18.75">
      <c r="A121" s="339" t="s">
        <v>103</v>
      </c>
      <c r="B121" s="339" t="s">
        <v>74</v>
      </c>
      <c r="C121" s="339" t="s">
        <v>65</v>
      </c>
      <c r="D121" s="339" t="s">
        <v>66</v>
      </c>
      <c r="E121" s="339" t="s">
        <v>67</v>
      </c>
      <c r="F121" s="340" t="s">
        <v>68</v>
      </c>
      <c r="G121" s="339" t="s">
        <v>69</v>
      </c>
      <c r="H121" s="341" t="s">
        <v>70</v>
      </c>
      <c r="I121" s="341"/>
      <c r="J121" s="341" t="s">
        <v>79</v>
      </c>
      <c r="K121" s="341"/>
      <c r="L121" s="341"/>
      <c r="M121" s="341"/>
      <c r="N121" s="331" t="s">
        <v>511</v>
      </c>
      <c r="O121" s="331"/>
      <c r="P121" s="331"/>
      <c r="Q121" s="331"/>
      <c r="R121" s="331"/>
      <c r="S121" s="331"/>
      <c r="T121" s="331"/>
      <c r="U121" s="331"/>
    </row>
    <row r="122" spans="1:21" ht="15.75">
      <c r="A122" s="339"/>
      <c r="B122" s="339"/>
      <c r="C122" s="339"/>
      <c r="D122" s="339"/>
      <c r="E122" s="339"/>
      <c r="F122" s="340"/>
      <c r="G122" s="339"/>
      <c r="H122" s="332" t="s">
        <v>71</v>
      </c>
      <c r="I122" s="332" t="s">
        <v>197</v>
      </c>
      <c r="J122" s="15" t="s">
        <v>75</v>
      </c>
      <c r="K122" s="15" t="s">
        <v>76</v>
      </c>
      <c r="L122" s="15" t="s">
        <v>77</v>
      </c>
      <c r="M122" s="15" t="s">
        <v>78</v>
      </c>
      <c r="N122" s="333" t="s">
        <v>75</v>
      </c>
      <c r="O122" s="333"/>
      <c r="P122" s="333" t="s">
        <v>76</v>
      </c>
      <c r="Q122" s="333"/>
      <c r="R122" s="333" t="s">
        <v>77</v>
      </c>
      <c r="S122" s="333"/>
      <c r="T122" s="333" t="s">
        <v>78</v>
      </c>
      <c r="U122" s="333"/>
    </row>
    <row r="123" spans="1:21" ht="31.5">
      <c r="A123" s="339"/>
      <c r="B123" s="339"/>
      <c r="C123" s="339"/>
      <c r="D123" s="339"/>
      <c r="E123" s="339"/>
      <c r="F123" s="340"/>
      <c r="G123" s="339"/>
      <c r="H123" s="332"/>
      <c r="I123" s="332"/>
      <c r="J123" s="101" t="s">
        <v>64</v>
      </c>
      <c r="K123" s="55" t="s">
        <v>64</v>
      </c>
      <c r="L123" s="55" t="s">
        <v>64</v>
      </c>
      <c r="M123" s="55" t="s">
        <v>64</v>
      </c>
      <c r="N123" s="185" t="s">
        <v>514</v>
      </c>
      <c r="O123" s="185" t="s">
        <v>513</v>
      </c>
      <c r="P123" s="185" t="s">
        <v>514</v>
      </c>
      <c r="Q123" s="185" t="s">
        <v>513</v>
      </c>
      <c r="R123" s="185" t="s">
        <v>514</v>
      </c>
      <c r="S123" s="185" t="s">
        <v>513</v>
      </c>
      <c r="T123" s="185" t="s">
        <v>514</v>
      </c>
      <c r="U123" s="185" t="s">
        <v>513</v>
      </c>
    </row>
    <row r="124" spans="1:21" s="73" customFormat="1" ht="33.75">
      <c r="A124" s="316" t="s">
        <v>349</v>
      </c>
      <c r="B124" s="316"/>
      <c r="C124" s="316"/>
      <c r="D124" s="316"/>
      <c r="E124" s="316"/>
      <c r="F124" s="316"/>
      <c r="G124" s="316"/>
      <c r="H124" s="316"/>
      <c r="I124" s="316"/>
      <c r="J124" s="316"/>
      <c r="K124" s="316"/>
      <c r="L124" s="316"/>
      <c r="M124" s="316"/>
      <c r="N124" s="316"/>
      <c r="O124" s="316"/>
      <c r="P124" s="316"/>
      <c r="Q124" s="316"/>
      <c r="R124" s="316"/>
      <c r="S124" s="316"/>
      <c r="T124" s="316"/>
      <c r="U124" s="316"/>
    </row>
    <row r="125" spans="1:21" ht="189">
      <c r="A125" s="369" t="s">
        <v>199</v>
      </c>
      <c r="B125" s="44" t="s">
        <v>350</v>
      </c>
      <c r="C125" s="16" t="s">
        <v>351</v>
      </c>
      <c r="D125" s="25">
        <v>7.1400000000000005E-2</v>
      </c>
      <c r="E125" s="16" t="s">
        <v>105</v>
      </c>
      <c r="F125" s="25">
        <v>1</v>
      </c>
      <c r="G125" s="16" t="s">
        <v>352</v>
      </c>
      <c r="H125" s="23">
        <v>43101</v>
      </c>
      <c r="I125" s="23">
        <v>43159</v>
      </c>
      <c r="J125" s="25">
        <v>0.2</v>
      </c>
      <c r="K125" s="25">
        <v>0.4</v>
      </c>
      <c r="L125" s="25">
        <v>0.7</v>
      </c>
      <c r="M125" s="25">
        <v>1</v>
      </c>
      <c r="N125" s="113">
        <f>+J125</f>
        <v>0.2</v>
      </c>
      <c r="O125" s="110" t="s">
        <v>615</v>
      </c>
      <c r="P125" s="163">
        <v>1</v>
      </c>
      <c r="Q125" s="124" t="s">
        <v>719</v>
      </c>
      <c r="R125" s="124">
        <v>0.7</v>
      </c>
      <c r="S125" s="9" t="s">
        <v>904</v>
      </c>
      <c r="T125" s="35">
        <v>1</v>
      </c>
      <c r="U125" s="35" t="s">
        <v>993</v>
      </c>
    </row>
    <row r="126" spans="1:21" ht="409.5">
      <c r="A126" s="369"/>
      <c r="B126" s="44" t="s">
        <v>353</v>
      </c>
      <c r="C126" s="16" t="s">
        <v>354</v>
      </c>
      <c r="D126" s="25">
        <v>7.1400000000000005E-2</v>
      </c>
      <c r="E126" s="16" t="s">
        <v>105</v>
      </c>
      <c r="F126" s="25">
        <v>1</v>
      </c>
      <c r="G126" s="16" t="s">
        <v>355</v>
      </c>
      <c r="H126" s="23">
        <v>43101</v>
      </c>
      <c r="I126" s="23">
        <v>43465</v>
      </c>
      <c r="J126" s="25">
        <v>0.15</v>
      </c>
      <c r="K126" s="25">
        <v>0.5</v>
      </c>
      <c r="L126" s="25">
        <v>0.65</v>
      </c>
      <c r="M126" s="25">
        <v>1</v>
      </c>
      <c r="N126" s="118">
        <v>0.2</v>
      </c>
      <c r="O126" s="110" t="s">
        <v>616</v>
      </c>
      <c r="P126" s="124">
        <v>0.65</v>
      </c>
      <c r="Q126" s="163" t="s">
        <v>720</v>
      </c>
      <c r="R126" s="124">
        <v>0.7</v>
      </c>
      <c r="S126" s="9" t="s">
        <v>905</v>
      </c>
      <c r="T126" s="35">
        <v>1</v>
      </c>
      <c r="U126" s="35" t="s">
        <v>994</v>
      </c>
    </row>
    <row r="127" spans="1:21" ht="346.5">
      <c r="A127" s="369"/>
      <c r="B127" s="44" t="s">
        <v>356</v>
      </c>
      <c r="C127" s="16" t="s">
        <v>357</v>
      </c>
      <c r="D127" s="25">
        <v>7.1400000000000005E-2</v>
      </c>
      <c r="E127" s="16" t="s">
        <v>105</v>
      </c>
      <c r="F127" s="25">
        <v>1</v>
      </c>
      <c r="G127" s="16" t="s">
        <v>358</v>
      </c>
      <c r="H127" s="23">
        <v>43101</v>
      </c>
      <c r="I127" s="23">
        <v>43465</v>
      </c>
      <c r="J127" s="25">
        <v>0.25</v>
      </c>
      <c r="K127" s="25">
        <v>0.5</v>
      </c>
      <c r="L127" s="25">
        <v>0.75</v>
      </c>
      <c r="M127" s="25">
        <v>1</v>
      </c>
      <c r="N127" s="132">
        <v>0.25</v>
      </c>
      <c r="O127" s="110" t="s">
        <v>617</v>
      </c>
      <c r="P127" s="124">
        <v>0.5</v>
      </c>
      <c r="Q127" s="124" t="s">
        <v>721</v>
      </c>
      <c r="R127" s="124">
        <v>0.75</v>
      </c>
      <c r="S127" s="9" t="s">
        <v>906</v>
      </c>
      <c r="T127" s="35">
        <v>1</v>
      </c>
      <c r="U127" s="35" t="s">
        <v>995</v>
      </c>
    </row>
    <row r="128" spans="1:21" ht="409.5">
      <c r="A128" s="369"/>
      <c r="B128" s="44" t="s">
        <v>359</v>
      </c>
      <c r="C128" s="16" t="s">
        <v>360</v>
      </c>
      <c r="D128" s="25">
        <v>7.1400000000000005E-2</v>
      </c>
      <c r="E128" s="16" t="s">
        <v>105</v>
      </c>
      <c r="F128" s="25">
        <v>1</v>
      </c>
      <c r="G128" s="16" t="s">
        <v>361</v>
      </c>
      <c r="H128" s="23">
        <v>43101</v>
      </c>
      <c r="I128" s="23">
        <v>43465</v>
      </c>
      <c r="J128" s="25">
        <v>0.25</v>
      </c>
      <c r="K128" s="25">
        <v>0.55000000000000004</v>
      </c>
      <c r="L128" s="25">
        <v>0.85</v>
      </c>
      <c r="M128" s="25">
        <v>1</v>
      </c>
      <c r="N128" s="124">
        <v>0.25</v>
      </c>
      <c r="O128" s="110" t="s">
        <v>618</v>
      </c>
      <c r="P128" s="124">
        <v>0.55000000000000004</v>
      </c>
      <c r="Q128" s="124" t="s">
        <v>722</v>
      </c>
      <c r="R128" s="124">
        <v>0.85</v>
      </c>
      <c r="S128" s="9" t="s">
        <v>907</v>
      </c>
      <c r="T128" s="35">
        <v>1</v>
      </c>
      <c r="U128" s="35" t="s">
        <v>996</v>
      </c>
    </row>
    <row r="129" spans="1:21" ht="409.5">
      <c r="A129" s="369"/>
      <c r="B129" s="44" t="s">
        <v>362</v>
      </c>
      <c r="C129" s="16" t="s">
        <v>363</v>
      </c>
      <c r="D129" s="25">
        <v>7.1400000000000005E-2</v>
      </c>
      <c r="E129" s="16" t="s">
        <v>105</v>
      </c>
      <c r="F129" s="25">
        <v>1</v>
      </c>
      <c r="G129" s="16" t="s">
        <v>364</v>
      </c>
      <c r="H129" s="23">
        <v>43101</v>
      </c>
      <c r="I129" s="23">
        <v>43465</v>
      </c>
      <c r="J129" s="25">
        <v>0.25</v>
      </c>
      <c r="K129" s="25">
        <v>0.5</v>
      </c>
      <c r="L129" s="25">
        <v>0.75</v>
      </c>
      <c r="M129" s="25">
        <v>1</v>
      </c>
      <c r="N129" s="124">
        <v>0</v>
      </c>
      <c r="O129" s="110" t="s">
        <v>619</v>
      </c>
      <c r="P129" s="124">
        <v>0.2</v>
      </c>
      <c r="Q129" s="124" t="s">
        <v>723</v>
      </c>
      <c r="R129" s="124">
        <v>0.6</v>
      </c>
      <c r="S129" s="9" t="s">
        <v>908</v>
      </c>
      <c r="T129" s="35">
        <v>1</v>
      </c>
      <c r="U129" s="35" t="s">
        <v>997</v>
      </c>
    </row>
    <row r="130" spans="1:21" ht="393.75">
      <c r="A130" s="369"/>
      <c r="B130" s="44" t="s">
        <v>365</v>
      </c>
      <c r="C130" s="16" t="s">
        <v>366</v>
      </c>
      <c r="D130" s="25">
        <v>7.1400000000000005E-2</v>
      </c>
      <c r="E130" s="16" t="s">
        <v>105</v>
      </c>
      <c r="F130" s="25">
        <v>1</v>
      </c>
      <c r="G130" s="16" t="s">
        <v>367</v>
      </c>
      <c r="H130" s="23">
        <v>43101</v>
      </c>
      <c r="I130" s="23">
        <v>43465</v>
      </c>
      <c r="J130" s="25">
        <v>0.05</v>
      </c>
      <c r="K130" s="25">
        <v>0.5</v>
      </c>
      <c r="L130" s="25">
        <v>0.75</v>
      </c>
      <c r="M130" s="25">
        <v>1</v>
      </c>
      <c r="N130" s="133">
        <v>0.05</v>
      </c>
      <c r="O130" s="110" t="s">
        <v>620</v>
      </c>
      <c r="P130" s="124">
        <v>0.5</v>
      </c>
      <c r="Q130" s="124" t="s">
        <v>724</v>
      </c>
      <c r="R130" s="124">
        <v>0.75</v>
      </c>
      <c r="S130" s="9" t="s">
        <v>909</v>
      </c>
      <c r="T130" s="35">
        <v>1</v>
      </c>
      <c r="U130" s="35" t="s">
        <v>998</v>
      </c>
    </row>
    <row r="131" spans="1:21" ht="409.5">
      <c r="A131" s="369"/>
      <c r="B131" s="45" t="s">
        <v>368</v>
      </c>
      <c r="C131" s="16" t="s">
        <v>369</v>
      </c>
      <c r="D131" s="25">
        <v>7.1400000000000005E-2</v>
      </c>
      <c r="E131" s="16" t="s">
        <v>105</v>
      </c>
      <c r="F131" s="25">
        <v>1</v>
      </c>
      <c r="G131" s="16" t="s">
        <v>370</v>
      </c>
      <c r="H131" s="23">
        <v>43101</v>
      </c>
      <c r="I131" s="23">
        <v>43465</v>
      </c>
      <c r="J131" s="25">
        <v>0.25</v>
      </c>
      <c r="K131" s="25">
        <v>0.5</v>
      </c>
      <c r="L131" s="25">
        <v>0.75</v>
      </c>
      <c r="M131" s="25">
        <v>1</v>
      </c>
      <c r="N131" s="133">
        <v>0.25</v>
      </c>
      <c r="O131" s="110" t="s">
        <v>621</v>
      </c>
      <c r="P131" s="124">
        <v>0.5</v>
      </c>
      <c r="Q131" s="124" t="s">
        <v>725</v>
      </c>
      <c r="R131" s="124">
        <v>0.75</v>
      </c>
      <c r="S131" s="9" t="s">
        <v>910</v>
      </c>
      <c r="T131" s="35">
        <v>1</v>
      </c>
      <c r="U131" s="35" t="s">
        <v>999</v>
      </c>
    </row>
    <row r="132" spans="1:21">
      <c r="A132" s="76"/>
      <c r="B132" s="76"/>
      <c r="C132" s="76"/>
      <c r="D132" s="77">
        <f>SUM(D125:D131)</f>
        <v>0.49980000000000008</v>
      </c>
      <c r="E132" s="76"/>
      <c r="F132" s="59"/>
      <c r="G132" s="76"/>
      <c r="H132" s="76"/>
      <c r="I132" s="76"/>
      <c r="J132" s="76"/>
      <c r="K132" s="76"/>
      <c r="L132" s="76"/>
      <c r="M132" s="76"/>
      <c r="N132" s="72"/>
      <c r="O132" s="72"/>
      <c r="P132" s="72"/>
      <c r="Q132" s="72"/>
      <c r="R132" s="72"/>
      <c r="S132" s="72"/>
      <c r="T132" s="72"/>
      <c r="U132" s="72"/>
    </row>
    <row r="133" spans="1:21" ht="33.75">
      <c r="A133" s="316" t="s">
        <v>515</v>
      </c>
      <c r="B133" s="316"/>
      <c r="C133" s="316"/>
      <c r="D133" s="316"/>
      <c r="E133" s="316"/>
      <c r="F133" s="316"/>
      <c r="G133" s="316"/>
      <c r="H133" s="316"/>
      <c r="I133" s="316"/>
      <c r="J133" s="316"/>
      <c r="K133" s="316"/>
      <c r="L133" s="316"/>
      <c r="M133" s="316"/>
      <c r="N133" s="316"/>
      <c r="O133" s="316"/>
      <c r="P133" s="316"/>
      <c r="Q133" s="316"/>
      <c r="R133" s="316"/>
      <c r="S133" s="316"/>
      <c r="T133" s="316"/>
      <c r="U133" s="316"/>
    </row>
    <row r="134" spans="1:21" ht="18.75">
      <c r="A134" s="339" t="s">
        <v>103</v>
      </c>
      <c r="B134" s="339" t="s">
        <v>74</v>
      </c>
      <c r="C134" s="339" t="s">
        <v>65</v>
      </c>
      <c r="D134" s="339" t="s">
        <v>66</v>
      </c>
      <c r="E134" s="339" t="s">
        <v>67</v>
      </c>
      <c r="F134" s="340" t="s">
        <v>68</v>
      </c>
      <c r="G134" s="339" t="s">
        <v>69</v>
      </c>
      <c r="H134" s="341" t="s">
        <v>70</v>
      </c>
      <c r="I134" s="341"/>
      <c r="J134" s="341" t="s">
        <v>79</v>
      </c>
      <c r="K134" s="341"/>
      <c r="L134" s="341"/>
      <c r="M134" s="341"/>
      <c r="N134" s="331" t="s">
        <v>511</v>
      </c>
      <c r="O134" s="331"/>
      <c r="P134" s="331"/>
      <c r="Q134" s="331"/>
      <c r="R134" s="331"/>
      <c r="S134" s="331"/>
      <c r="T134" s="331"/>
      <c r="U134" s="331"/>
    </row>
    <row r="135" spans="1:21" ht="15.75">
      <c r="A135" s="339"/>
      <c r="B135" s="339"/>
      <c r="C135" s="339"/>
      <c r="D135" s="339"/>
      <c r="E135" s="339"/>
      <c r="F135" s="340"/>
      <c r="G135" s="339"/>
      <c r="H135" s="332" t="s">
        <v>71</v>
      </c>
      <c r="I135" s="332" t="s">
        <v>197</v>
      </c>
      <c r="J135" s="15" t="s">
        <v>75</v>
      </c>
      <c r="K135" s="15" t="s">
        <v>76</v>
      </c>
      <c r="L135" s="15" t="s">
        <v>77</v>
      </c>
      <c r="M135" s="15" t="s">
        <v>78</v>
      </c>
      <c r="N135" s="333" t="s">
        <v>75</v>
      </c>
      <c r="O135" s="333"/>
      <c r="P135" s="333" t="s">
        <v>76</v>
      </c>
      <c r="Q135" s="333"/>
      <c r="R135" s="333" t="s">
        <v>77</v>
      </c>
      <c r="S135" s="333"/>
      <c r="T135" s="333" t="s">
        <v>78</v>
      </c>
      <c r="U135" s="333"/>
    </row>
    <row r="136" spans="1:21" ht="31.5">
      <c r="A136" s="339"/>
      <c r="B136" s="339"/>
      <c r="C136" s="339"/>
      <c r="D136" s="339"/>
      <c r="E136" s="339"/>
      <c r="F136" s="340"/>
      <c r="G136" s="339"/>
      <c r="H136" s="332"/>
      <c r="I136" s="332"/>
      <c r="J136" s="101" t="s">
        <v>64</v>
      </c>
      <c r="K136" s="55" t="s">
        <v>64</v>
      </c>
      <c r="L136" s="55" t="s">
        <v>64</v>
      </c>
      <c r="M136" s="55" t="s">
        <v>64</v>
      </c>
      <c r="N136" s="185" t="s">
        <v>514</v>
      </c>
      <c r="O136" s="185" t="s">
        <v>513</v>
      </c>
      <c r="P136" s="185" t="s">
        <v>514</v>
      </c>
      <c r="Q136" s="185" t="s">
        <v>513</v>
      </c>
      <c r="R136" s="185" t="s">
        <v>514</v>
      </c>
      <c r="S136" s="185" t="s">
        <v>513</v>
      </c>
      <c r="T136" s="185" t="s">
        <v>514</v>
      </c>
      <c r="U136" s="185" t="s">
        <v>513</v>
      </c>
    </row>
    <row r="137" spans="1:21" ht="33.75">
      <c r="A137" s="316" t="s">
        <v>371</v>
      </c>
      <c r="B137" s="316"/>
      <c r="C137" s="316"/>
      <c r="D137" s="316"/>
      <c r="E137" s="316"/>
      <c r="F137" s="316"/>
      <c r="G137" s="316"/>
      <c r="H137" s="316"/>
      <c r="I137" s="316"/>
      <c r="J137" s="316"/>
      <c r="K137" s="316"/>
      <c r="L137" s="316"/>
      <c r="M137" s="316"/>
      <c r="N137" s="316"/>
      <c r="O137" s="316"/>
      <c r="P137" s="316"/>
      <c r="Q137" s="316"/>
      <c r="R137" s="316"/>
      <c r="S137" s="316"/>
      <c r="T137" s="316"/>
      <c r="U137" s="316"/>
    </row>
    <row r="138" spans="1:21" ht="330.75">
      <c r="A138" s="369" t="s">
        <v>199</v>
      </c>
      <c r="B138" s="370" t="s">
        <v>200</v>
      </c>
      <c r="C138" s="16" t="s">
        <v>372</v>
      </c>
      <c r="D138" s="25">
        <v>0.18</v>
      </c>
      <c r="E138" s="16" t="s">
        <v>112</v>
      </c>
      <c r="F138" s="26">
        <v>200</v>
      </c>
      <c r="G138" s="16" t="s">
        <v>373</v>
      </c>
      <c r="H138" s="23">
        <v>43102</v>
      </c>
      <c r="I138" s="23">
        <v>43464</v>
      </c>
      <c r="J138" s="26">
        <v>50</v>
      </c>
      <c r="K138" s="26">
        <v>100</v>
      </c>
      <c r="L138" s="26">
        <v>150</v>
      </c>
      <c r="M138" s="26">
        <v>200</v>
      </c>
      <c r="N138" s="26">
        <v>54</v>
      </c>
      <c r="O138" s="110" t="s">
        <v>622</v>
      </c>
      <c r="P138" s="150">
        <v>151</v>
      </c>
      <c r="Q138" s="150" t="s">
        <v>692</v>
      </c>
      <c r="R138" s="194">
        <v>219</v>
      </c>
      <c r="S138" s="183" t="s">
        <v>911</v>
      </c>
      <c r="T138" s="256">
        <v>283</v>
      </c>
      <c r="U138" s="256" t="s">
        <v>1000</v>
      </c>
    </row>
    <row r="139" spans="1:21" ht="409.5">
      <c r="A139" s="369"/>
      <c r="B139" s="370"/>
      <c r="C139" s="16" t="s">
        <v>374</v>
      </c>
      <c r="D139" s="25">
        <v>0.12</v>
      </c>
      <c r="E139" s="16" t="s">
        <v>112</v>
      </c>
      <c r="F139" s="26">
        <v>45000</v>
      </c>
      <c r="G139" s="16" t="s">
        <v>375</v>
      </c>
      <c r="H139" s="23">
        <v>43102</v>
      </c>
      <c r="I139" s="23">
        <v>43464</v>
      </c>
      <c r="J139" s="26">
        <v>11250</v>
      </c>
      <c r="K139" s="26">
        <v>22500</v>
      </c>
      <c r="L139" s="26">
        <v>33750</v>
      </c>
      <c r="M139" s="26">
        <v>45000</v>
      </c>
      <c r="N139" s="26">
        <v>99932</v>
      </c>
      <c r="O139" s="110" t="s">
        <v>623</v>
      </c>
      <c r="P139" s="150">
        <v>286658</v>
      </c>
      <c r="Q139" s="150" t="s">
        <v>693</v>
      </c>
      <c r="R139" s="195">
        <v>391515</v>
      </c>
      <c r="S139" s="183" t="s">
        <v>912</v>
      </c>
      <c r="T139" s="256">
        <v>406207</v>
      </c>
      <c r="U139" s="256" t="s">
        <v>1001</v>
      </c>
    </row>
    <row r="140" spans="1:21" ht="110.25">
      <c r="A140" s="369"/>
      <c r="B140" s="370"/>
      <c r="C140" s="16" t="s">
        <v>376</v>
      </c>
      <c r="D140" s="25">
        <v>0.1</v>
      </c>
      <c r="E140" s="16" t="s">
        <v>112</v>
      </c>
      <c r="F140" s="26">
        <v>8000</v>
      </c>
      <c r="G140" s="16" t="s">
        <v>377</v>
      </c>
      <c r="H140" s="23">
        <v>43102</v>
      </c>
      <c r="I140" s="23">
        <v>43464</v>
      </c>
      <c r="J140" s="26">
        <v>2000</v>
      </c>
      <c r="K140" s="26">
        <v>4000</v>
      </c>
      <c r="L140" s="26">
        <v>6000</v>
      </c>
      <c r="M140" s="26">
        <v>8000</v>
      </c>
      <c r="N140" s="26">
        <v>2700</v>
      </c>
      <c r="O140" s="110" t="s">
        <v>624</v>
      </c>
      <c r="P140" s="150">
        <v>5536</v>
      </c>
      <c r="Q140" s="150" t="s">
        <v>694</v>
      </c>
      <c r="R140" s="194">
        <v>8236</v>
      </c>
      <c r="S140" s="183" t="s">
        <v>913</v>
      </c>
      <c r="T140" s="256">
        <v>10936</v>
      </c>
      <c r="U140" s="256" t="s">
        <v>1002</v>
      </c>
    </row>
    <row r="141" spans="1:21" ht="131.25">
      <c r="A141" s="369"/>
      <c r="B141" s="370"/>
      <c r="C141" s="16" t="s">
        <v>378</v>
      </c>
      <c r="D141" s="25">
        <v>0.1</v>
      </c>
      <c r="E141" s="16" t="s">
        <v>112</v>
      </c>
      <c r="F141" s="26">
        <v>4000</v>
      </c>
      <c r="G141" s="16" t="s">
        <v>379</v>
      </c>
      <c r="H141" s="23">
        <v>43102</v>
      </c>
      <c r="I141" s="23">
        <v>43464</v>
      </c>
      <c r="J141" s="26">
        <v>1000</v>
      </c>
      <c r="K141" s="26">
        <v>2000</v>
      </c>
      <c r="L141" s="26">
        <v>3000</v>
      </c>
      <c r="M141" s="26">
        <v>4000</v>
      </c>
      <c r="N141" s="26">
        <v>865</v>
      </c>
      <c r="O141" s="110" t="s">
        <v>625</v>
      </c>
      <c r="P141" s="150">
        <v>1308</v>
      </c>
      <c r="Q141" s="150" t="s">
        <v>695</v>
      </c>
      <c r="R141" s="194">
        <v>2009</v>
      </c>
      <c r="S141" s="183" t="s">
        <v>914</v>
      </c>
      <c r="T141" s="256">
        <v>3005</v>
      </c>
      <c r="U141" s="256" t="s">
        <v>1003</v>
      </c>
    </row>
    <row r="142" spans="1:21">
      <c r="A142" s="76"/>
      <c r="B142" s="76"/>
      <c r="C142" s="76"/>
      <c r="D142" s="74">
        <f>SUM(D138:D141)</f>
        <v>0.5</v>
      </c>
      <c r="E142" s="76"/>
      <c r="F142" s="59"/>
      <c r="G142" s="76"/>
      <c r="H142" s="76"/>
      <c r="I142" s="76"/>
      <c r="J142" s="76"/>
      <c r="K142" s="76"/>
      <c r="L142" s="76"/>
      <c r="M142" s="76"/>
      <c r="N142" s="72"/>
      <c r="O142" s="72"/>
      <c r="P142" s="72"/>
      <c r="Q142" s="72"/>
      <c r="R142" s="72"/>
      <c r="S142" s="72"/>
      <c r="T142" s="72"/>
      <c r="U142" s="72"/>
    </row>
    <row r="143" spans="1:21" ht="33.75">
      <c r="A143" s="316" t="s">
        <v>515</v>
      </c>
      <c r="B143" s="316"/>
      <c r="C143" s="316"/>
      <c r="D143" s="316"/>
      <c r="E143" s="316"/>
      <c r="F143" s="316"/>
      <c r="G143" s="316"/>
      <c r="H143" s="316"/>
      <c r="I143" s="316"/>
      <c r="J143" s="316"/>
      <c r="K143" s="316"/>
      <c r="L143" s="316"/>
      <c r="M143" s="316"/>
      <c r="N143" s="316"/>
      <c r="O143" s="316"/>
      <c r="P143" s="316"/>
      <c r="Q143" s="316"/>
      <c r="R143" s="316"/>
      <c r="S143" s="316"/>
      <c r="T143" s="316"/>
      <c r="U143" s="316"/>
    </row>
    <row r="144" spans="1:21" ht="18.75">
      <c r="A144" s="339" t="s">
        <v>103</v>
      </c>
      <c r="B144" s="339" t="s">
        <v>74</v>
      </c>
      <c r="C144" s="339" t="s">
        <v>65</v>
      </c>
      <c r="D144" s="339" t="s">
        <v>66</v>
      </c>
      <c r="E144" s="339" t="s">
        <v>67</v>
      </c>
      <c r="F144" s="340" t="s">
        <v>68</v>
      </c>
      <c r="G144" s="339" t="s">
        <v>69</v>
      </c>
      <c r="H144" s="341" t="s">
        <v>70</v>
      </c>
      <c r="I144" s="341"/>
      <c r="J144" s="341" t="s">
        <v>79</v>
      </c>
      <c r="K144" s="341"/>
      <c r="L144" s="341"/>
      <c r="M144" s="341"/>
      <c r="N144" s="331" t="s">
        <v>511</v>
      </c>
      <c r="O144" s="331"/>
      <c r="P144" s="331"/>
      <c r="Q144" s="331"/>
      <c r="R144" s="331"/>
      <c r="S144" s="331"/>
      <c r="T144" s="331"/>
      <c r="U144" s="331"/>
    </row>
    <row r="145" spans="1:21" ht="15.75">
      <c r="A145" s="339"/>
      <c r="B145" s="339"/>
      <c r="C145" s="339"/>
      <c r="D145" s="339"/>
      <c r="E145" s="339"/>
      <c r="F145" s="340"/>
      <c r="G145" s="339"/>
      <c r="H145" s="332" t="s">
        <v>71</v>
      </c>
      <c r="I145" s="332" t="s">
        <v>197</v>
      </c>
      <c r="J145" s="15" t="s">
        <v>75</v>
      </c>
      <c r="K145" s="15" t="s">
        <v>76</v>
      </c>
      <c r="L145" s="15" t="s">
        <v>77</v>
      </c>
      <c r="M145" s="15" t="s">
        <v>78</v>
      </c>
      <c r="N145" s="333" t="s">
        <v>75</v>
      </c>
      <c r="O145" s="333"/>
      <c r="P145" s="333" t="s">
        <v>76</v>
      </c>
      <c r="Q145" s="333"/>
      <c r="R145" s="333" t="s">
        <v>77</v>
      </c>
      <c r="S145" s="333"/>
      <c r="T145" s="333" t="s">
        <v>78</v>
      </c>
      <c r="U145" s="333"/>
    </row>
    <row r="146" spans="1:21" ht="31.5">
      <c r="A146" s="339"/>
      <c r="B146" s="339"/>
      <c r="C146" s="339"/>
      <c r="D146" s="339"/>
      <c r="E146" s="339"/>
      <c r="F146" s="340"/>
      <c r="G146" s="339"/>
      <c r="H146" s="332"/>
      <c r="I146" s="332"/>
      <c r="J146" s="101" t="s">
        <v>64</v>
      </c>
      <c r="K146" s="55" t="s">
        <v>64</v>
      </c>
      <c r="L146" s="55" t="s">
        <v>64</v>
      </c>
      <c r="M146" s="55" t="s">
        <v>64</v>
      </c>
      <c r="N146" s="185" t="s">
        <v>514</v>
      </c>
      <c r="O146" s="185" t="s">
        <v>513</v>
      </c>
      <c r="P146" s="185" t="s">
        <v>514</v>
      </c>
      <c r="Q146" s="185" t="s">
        <v>513</v>
      </c>
      <c r="R146" s="185" t="s">
        <v>514</v>
      </c>
      <c r="S146" s="185" t="s">
        <v>513</v>
      </c>
      <c r="T146" s="185" t="s">
        <v>514</v>
      </c>
      <c r="U146" s="185" t="s">
        <v>513</v>
      </c>
    </row>
    <row r="147" spans="1:21" ht="33.75">
      <c r="A147" s="316" t="s">
        <v>380</v>
      </c>
      <c r="B147" s="316"/>
      <c r="C147" s="316"/>
      <c r="D147" s="316"/>
      <c r="E147" s="316"/>
      <c r="F147" s="316"/>
      <c r="G147" s="316"/>
      <c r="H147" s="316"/>
      <c r="I147" s="316"/>
      <c r="J147" s="316"/>
      <c r="K147" s="316"/>
      <c r="L147" s="316"/>
      <c r="M147" s="316"/>
      <c r="N147" s="316"/>
      <c r="O147" s="316"/>
      <c r="P147" s="316"/>
      <c r="Q147" s="316"/>
      <c r="R147" s="316"/>
      <c r="S147" s="316"/>
      <c r="T147" s="316"/>
      <c r="U147" s="316"/>
    </row>
    <row r="148" spans="1:21" ht="409.5">
      <c r="A148" s="343" t="s">
        <v>199</v>
      </c>
      <c r="B148" s="370" t="s">
        <v>200</v>
      </c>
      <c r="C148" s="80" t="s">
        <v>381</v>
      </c>
      <c r="D148" s="25">
        <v>0.1</v>
      </c>
      <c r="E148" s="16" t="s">
        <v>112</v>
      </c>
      <c r="F148" s="26">
        <v>1</v>
      </c>
      <c r="G148" s="80" t="s">
        <v>382</v>
      </c>
      <c r="H148" s="23">
        <v>43102</v>
      </c>
      <c r="I148" s="23">
        <v>43464</v>
      </c>
      <c r="J148" s="27">
        <v>0.25</v>
      </c>
      <c r="K148" s="27">
        <v>0.5</v>
      </c>
      <c r="L148" s="27">
        <v>0.75</v>
      </c>
      <c r="M148" s="27">
        <v>1</v>
      </c>
      <c r="N148" s="138">
        <v>0.01</v>
      </c>
      <c r="O148" s="134" t="s">
        <v>626</v>
      </c>
      <c r="P148" s="199">
        <v>0.31</v>
      </c>
      <c r="Q148" s="181" t="s">
        <v>768</v>
      </c>
      <c r="R148" s="176">
        <v>0.84209999999999996</v>
      </c>
      <c r="S148" s="196" t="s">
        <v>915</v>
      </c>
      <c r="T148" s="77">
        <v>1.21</v>
      </c>
      <c r="U148" s="258" t="s">
        <v>1005</v>
      </c>
    </row>
    <row r="149" spans="1:21" ht="409.5">
      <c r="A149" s="369"/>
      <c r="B149" s="370"/>
      <c r="C149" s="80" t="s">
        <v>383</v>
      </c>
      <c r="D149" s="25">
        <v>0.1</v>
      </c>
      <c r="E149" s="16" t="s">
        <v>112</v>
      </c>
      <c r="F149" s="26">
        <v>1</v>
      </c>
      <c r="G149" s="80" t="s">
        <v>384</v>
      </c>
      <c r="H149" s="23">
        <v>43102</v>
      </c>
      <c r="I149" s="23">
        <v>43464</v>
      </c>
      <c r="J149" s="27"/>
      <c r="K149" s="27"/>
      <c r="L149" s="27"/>
      <c r="M149" s="27">
        <v>1</v>
      </c>
      <c r="N149" s="137">
        <v>2.5000000000000001E-2</v>
      </c>
      <c r="O149" s="135" t="s">
        <v>627</v>
      </c>
      <c r="P149" s="199">
        <v>0.75</v>
      </c>
      <c r="Q149" s="181" t="s">
        <v>769</v>
      </c>
      <c r="R149" s="197">
        <v>0.85</v>
      </c>
      <c r="S149" s="182" t="s">
        <v>916</v>
      </c>
      <c r="T149" s="77">
        <v>1</v>
      </c>
      <c r="U149" s="259" t="s">
        <v>1006</v>
      </c>
    </row>
    <row r="150" spans="1:21" ht="409.5">
      <c r="A150" s="369"/>
      <c r="B150" s="370"/>
      <c r="C150" s="80" t="s">
        <v>385</v>
      </c>
      <c r="D150" s="25">
        <v>0.1</v>
      </c>
      <c r="E150" s="16" t="s">
        <v>112</v>
      </c>
      <c r="F150" s="26">
        <v>1</v>
      </c>
      <c r="G150" s="80" t="s">
        <v>386</v>
      </c>
      <c r="H150" s="23">
        <v>43102</v>
      </c>
      <c r="I150" s="23">
        <v>43464</v>
      </c>
      <c r="J150" s="27"/>
      <c r="K150" s="27"/>
      <c r="L150" s="27"/>
      <c r="M150" s="27">
        <v>1</v>
      </c>
      <c r="N150" s="139">
        <v>2.5000000000000001E-2</v>
      </c>
      <c r="O150" s="136" t="s">
        <v>628</v>
      </c>
      <c r="P150" s="199">
        <v>0.72</v>
      </c>
      <c r="Q150" s="181" t="s">
        <v>770</v>
      </c>
      <c r="R150" s="198">
        <v>0.85</v>
      </c>
      <c r="S150" s="196" t="s">
        <v>917</v>
      </c>
      <c r="T150" s="77">
        <v>1</v>
      </c>
      <c r="U150" s="259" t="s">
        <v>1007</v>
      </c>
    </row>
    <row r="151" spans="1:21" ht="409.5">
      <c r="A151" s="369"/>
      <c r="B151" s="370"/>
      <c r="C151" s="80" t="s">
        <v>387</v>
      </c>
      <c r="D151" s="25">
        <v>0.1</v>
      </c>
      <c r="E151" s="16" t="s">
        <v>112</v>
      </c>
      <c r="F151" s="26">
        <v>4</v>
      </c>
      <c r="G151" s="80" t="s">
        <v>388</v>
      </c>
      <c r="H151" s="23">
        <v>43102</v>
      </c>
      <c r="I151" s="23">
        <v>43464</v>
      </c>
      <c r="J151" s="28"/>
      <c r="K151" s="28"/>
      <c r="L151" s="28"/>
      <c r="M151" s="28">
        <v>4</v>
      </c>
      <c r="N151" s="139">
        <v>1.4999999999999999E-2</v>
      </c>
      <c r="O151" s="134" t="s">
        <v>629</v>
      </c>
      <c r="P151" s="199">
        <v>0.62</v>
      </c>
      <c r="Q151" s="181" t="s">
        <v>771</v>
      </c>
      <c r="R151" s="197">
        <v>0.93</v>
      </c>
      <c r="S151" s="196" t="s">
        <v>918</v>
      </c>
      <c r="T151" s="77">
        <v>1</v>
      </c>
      <c r="U151" s="260" t="s">
        <v>1008</v>
      </c>
    </row>
    <row r="152" spans="1:21" ht="409.5">
      <c r="A152" s="369"/>
      <c r="B152" s="370"/>
      <c r="C152" s="80" t="s">
        <v>389</v>
      </c>
      <c r="D152" s="25">
        <v>0.1</v>
      </c>
      <c r="E152" s="16" t="s">
        <v>112</v>
      </c>
      <c r="F152" s="26">
        <v>1</v>
      </c>
      <c r="G152" s="80" t="s">
        <v>390</v>
      </c>
      <c r="H152" s="23">
        <v>43102</v>
      </c>
      <c r="I152" s="23">
        <v>43464</v>
      </c>
      <c r="J152" s="27"/>
      <c r="K152" s="27"/>
      <c r="L152" s="27"/>
      <c r="M152" s="27">
        <v>1</v>
      </c>
      <c r="N152" s="140">
        <v>2.5000000000000001E-2</v>
      </c>
      <c r="O152" s="134" t="s">
        <v>630</v>
      </c>
      <c r="P152" s="200">
        <v>0.6</v>
      </c>
      <c r="Q152" s="181" t="s">
        <v>772</v>
      </c>
      <c r="R152" s="198">
        <v>0.88</v>
      </c>
      <c r="S152" s="191" t="s">
        <v>919</v>
      </c>
      <c r="T152" s="77">
        <v>1</v>
      </c>
      <c r="U152" s="259" t="s">
        <v>1009</v>
      </c>
    </row>
    <row r="153" spans="1:21">
      <c r="A153" s="76"/>
      <c r="B153" s="76"/>
      <c r="C153" s="76"/>
      <c r="D153" s="77">
        <f>SUM(D148:D152)</f>
        <v>0.5</v>
      </c>
      <c r="E153" s="76"/>
      <c r="F153" s="59"/>
      <c r="G153" s="76"/>
      <c r="H153" s="76"/>
      <c r="I153" s="76"/>
      <c r="J153" s="76"/>
      <c r="K153" s="76"/>
      <c r="L153" s="76"/>
      <c r="M153" s="76"/>
      <c r="N153" s="72"/>
      <c r="O153" s="72"/>
      <c r="P153" s="72"/>
      <c r="Q153" s="72"/>
      <c r="R153" s="72"/>
      <c r="S153" s="72"/>
      <c r="T153" s="72"/>
      <c r="U153" s="72"/>
    </row>
    <row r="154" spans="1:21" ht="33.75">
      <c r="A154" s="316" t="s">
        <v>515</v>
      </c>
      <c r="B154" s="316"/>
      <c r="C154" s="316"/>
      <c r="D154" s="316"/>
      <c r="E154" s="316"/>
      <c r="F154" s="316"/>
      <c r="G154" s="316"/>
      <c r="H154" s="316"/>
      <c r="I154" s="316"/>
      <c r="J154" s="316"/>
      <c r="K154" s="316"/>
      <c r="L154" s="316"/>
      <c r="M154" s="316"/>
      <c r="N154" s="316"/>
      <c r="O154" s="316"/>
      <c r="P154" s="316"/>
      <c r="Q154" s="316"/>
      <c r="R154" s="316"/>
      <c r="S154" s="316"/>
      <c r="T154" s="316"/>
      <c r="U154" s="316"/>
    </row>
    <row r="155" spans="1:21" ht="18.75">
      <c r="A155" s="339" t="s">
        <v>103</v>
      </c>
      <c r="B155" s="339" t="s">
        <v>74</v>
      </c>
      <c r="C155" s="339" t="s">
        <v>65</v>
      </c>
      <c r="D155" s="339" t="s">
        <v>66</v>
      </c>
      <c r="E155" s="339" t="s">
        <v>67</v>
      </c>
      <c r="F155" s="340" t="s">
        <v>68</v>
      </c>
      <c r="G155" s="339" t="s">
        <v>69</v>
      </c>
      <c r="H155" s="341" t="s">
        <v>70</v>
      </c>
      <c r="I155" s="341"/>
      <c r="J155" s="341" t="s">
        <v>79</v>
      </c>
      <c r="K155" s="341"/>
      <c r="L155" s="341"/>
      <c r="M155" s="341"/>
      <c r="N155" s="331" t="s">
        <v>511</v>
      </c>
      <c r="O155" s="331"/>
      <c r="P155" s="331"/>
      <c r="Q155" s="331"/>
      <c r="R155" s="331"/>
      <c r="S155" s="331"/>
      <c r="T155" s="331"/>
      <c r="U155" s="331"/>
    </row>
    <row r="156" spans="1:21" ht="15.75">
      <c r="A156" s="339"/>
      <c r="B156" s="339"/>
      <c r="C156" s="339"/>
      <c r="D156" s="339"/>
      <c r="E156" s="339"/>
      <c r="F156" s="340"/>
      <c r="G156" s="339"/>
      <c r="H156" s="332" t="s">
        <v>71</v>
      </c>
      <c r="I156" s="332" t="s">
        <v>197</v>
      </c>
      <c r="J156" s="15" t="s">
        <v>75</v>
      </c>
      <c r="K156" s="15" t="s">
        <v>76</v>
      </c>
      <c r="L156" s="15" t="s">
        <v>77</v>
      </c>
      <c r="M156" s="15" t="s">
        <v>78</v>
      </c>
      <c r="N156" s="333" t="s">
        <v>75</v>
      </c>
      <c r="O156" s="333"/>
      <c r="P156" s="333" t="s">
        <v>76</v>
      </c>
      <c r="Q156" s="333"/>
      <c r="R156" s="333" t="s">
        <v>77</v>
      </c>
      <c r="S156" s="333"/>
      <c r="T156" s="333" t="s">
        <v>78</v>
      </c>
      <c r="U156" s="333"/>
    </row>
    <row r="157" spans="1:21" ht="31.5">
      <c r="A157" s="339"/>
      <c r="B157" s="339"/>
      <c r="C157" s="339"/>
      <c r="D157" s="339"/>
      <c r="E157" s="339"/>
      <c r="F157" s="340"/>
      <c r="G157" s="339"/>
      <c r="H157" s="332"/>
      <c r="I157" s="332"/>
      <c r="J157" s="101" t="s">
        <v>64</v>
      </c>
      <c r="K157" s="55" t="s">
        <v>64</v>
      </c>
      <c r="L157" s="55" t="s">
        <v>64</v>
      </c>
      <c r="M157" s="55" t="s">
        <v>64</v>
      </c>
      <c r="N157" s="185" t="s">
        <v>514</v>
      </c>
      <c r="O157" s="185" t="s">
        <v>513</v>
      </c>
      <c r="P157" s="185" t="s">
        <v>514</v>
      </c>
      <c r="Q157" s="185" t="s">
        <v>513</v>
      </c>
      <c r="R157" s="185" t="s">
        <v>514</v>
      </c>
      <c r="S157" s="185" t="s">
        <v>513</v>
      </c>
      <c r="T157" s="185" t="s">
        <v>514</v>
      </c>
      <c r="U157" s="185" t="s">
        <v>513</v>
      </c>
    </row>
    <row r="158" spans="1:21" ht="33.75">
      <c r="A158" s="316" t="s">
        <v>391</v>
      </c>
      <c r="B158" s="316"/>
      <c r="C158" s="316"/>
      <c r="D158" s="316"/>
      <c r="E158" s="316"/>
      <c r="F158" s="316"/>
      <c r="G158" s="316"/>
      <c r="H158" s="316"/>
      <c r="I158" s="316"/>
      <c r="J158" s="316"/>
      <c r="K158" s="316"/>
      <c r="L158" s="316"/>
      <c r="M158" s="316"/>
      <c r="N158" s="316"/>
      <c r="O158" s="316"/>
      <c r="P158" s="316"/>
      <c r="Q158" s="316"/>
      <c r="R158" s="316"/>
      <c r="S158" s="316"/>
      <c r="T158" s="316"/>
      <c r="U158" s="316"/>
    </row>
    <row r="159" spans="1:21" ht="79.5" customHeight="1">
      <c r="A159" s="382" t="s">
        <v>199</v>
      </c>
      <c r="B159" s="382" t="s">
        <v>200</v>
      </c>
      <c r="C159" s="69" t="s">
        <v>516</v>
      </c>
      <c r="D159" s="71">
        <v>0.03</v>
      </c>
      <c r="E159" s="87" t="s">
        <v>105</v>
      </c>
      <c r="F159" s="99" t="s">
        <v>517</v>
      </c>
      <c r="G159" s="9" t="s">
        <v>518</v>
      </c>
      <c r="H159" s="78">
        <v>43132</v>
      </c>
      <c r="I159" s="78">
        <v>43465</v>
      </c>
      <c r="J159" s="114">
        <v>0.1</v>
      </c>
      <c r="K159" s="69">
        <v>0.3</v>
      </c>
      <c r="L159" s="69">
        <v>0.6</v>
      </c>
      <c r="M159" s="69">
        <v>1</v>
      </c>
      <c r="N159" s="114">
        <v>5.5599999999999997E-2</v>
      </c>
      <c r="O159" s="114" t="s">
        <v>631</v>
      </c>
      <c r="P159" s="147">
        <v>0.62790000000000001</v>
      </c>
      <c r="Q159" s="147" t="s">
        <v>732</v>
      </c>
      <c r="R159" s="173">
        <v>0.62790000000000001</v>
      </c>
      <c r="S159" s="173" t="s">
        <v>920</v>
      </c>
      <c r="T159" s="69"/>
      <c r="U159" s="72"/>
    </row>
    <row r="160" spans="1:21" ht="79.5" customHeight="1">
      <c r="A160" s="383"/>
      <c r="B160" s="383"/>
      <c r="C160" s="69" t="s">
        <v>519</v>
      </c>
      <c r="D160" s="71">
        <v>0.03</v>
      </c>
      <c r="E160" s="87" t="s">
        <v>112</v>
      </c>
      <c r="F160" s="87">
        <v>2</v>
      </c>
      <c r="G160" s="9" t="s">
        <v>520</v>
      </c>
      <c r="H160" s="78">
        <v>43132</v>
      </c>
      <c r="I160" s="78" t="s">
        <v>521</v>
      </c>
      <c r="J160" s="114">
        <v>0.7</v>
      </c>
      <c r="K160" s="69">
        <v>1</v>
      </c>
      <c r="L160" s="69"/>
      <c r="M160" s="69"/>
      <c r="N160" s="114">
        <v>0</v>
      </c>
      <c r="O160" s="114"/>
      <c r="P160" s="147">
        <v>0</v>
      </c>
      <c r="Q160" s="147" t="s">
        <v>733</v>
      </c>
      <c r="R160" s="173">
        <v>0</v>
      </c>
      <c r="S160" s="173" t="s">
        <v>733</v>
      </c>
      <c r="T160" s="69"/>
      <c r="U160" s="72"/>
    </row>
    <row r="161" spans="1:21" ht="79.5" customHeight="1">
      <c r="A161" s="383"/>
      <c r="B161" s="383"/>
      <c r="C161" s="69" t="s">
        <v>522</v>
      </c>
      <c r="D161" s="71">
        <v>0.02</v>
      </c>
      <c r="E161" s="87" t="s">
        <v>112</v>
      </c>
      <c r="F161" s="87">
        <v>2</v>
      </c>
      <c r="G161" s="9" t="s">
        <v>523</v>
      </c>
      <c r="H161" s="78">
        <v>43221</v>
      </c>
      <c r="I161" s="78">
        <v>43465</v>
      </c>
      <c r="J161" s="114">
        <v>0</v>
      </c>
      <c r="K161" s="69">
        <v>0.1</v>
      </c>
      <c r="L161" s="69">
        <v>0.55000000000000004</v>
      </c>
      <c r="M161" s="69">
        <v>1</v>
      </c>
      <c r="N161" s="114">
        <v>0</v>
      </c>
      <c r="O161" s="114"/>
      <c r="P161" s="147">
        <v>0</v>
      </c>
      <c r="Q161" s="147" t="s">
        <v>733</v>
      </c>
      <c r="R161" s="173">
        <v>0</v>
      </c>
      <c r="S161" s="173" t="s">
        <v>733</v>
      </c>
      <c r="T161" s="69"/>
      <c r="U161" s="72"/>
    </row>
    <row r="162" spans="1:21" ht="79.5" customHeight="1">
      <c r="A162" s="383"/>
      <c r="B162" s="383"/>
      <c r="C162" s="69" t="s">
        <v>524</v>
      </c>
      <c r="D162" s="71">
        <v>0.03</v>
      </c>
      <c r="E162" s="87" t="s">
        <v>105</v>
      </c>
      <c r="F162" s="69">
        <v>0.25</v>
      </c>
      <c r="G162" s="9" t="s">
        <v>525</v>
      </c>
      <c r="H162" s="78">
        <v>43132</v>
      </c>
      <c r="I162" s="78">
        <v>43465</v>
      </c>
      <c r="J162" s="114">
        <v>0.25</v>
      </c>
      <c r="K162" s="69">
        <v>0.5</v>
      </c>
      <c r="L162" s="69">
        <v>0.75</v>
      </c>
      <c r="M162" s="69">
        <v>1</v>
      </c>
      <c r="N162" s="114">
        <v>2.0299999999999998</v>
      </c>
      <c r="O162" s="114" t="s">
        <v>632</v>
      </c>
      <c r="P162" s="147">
        <v>2.9217</v>
      </c>
      <c r="Q162" s="147" t="s">
        <v>734</v>
      </c>
      <c r="R162" s="173">
        <v>2.9217</v>
      </c>
      <c r="S162" s="173" t="s">
        <v>734</v>
      </c>
      <c r="T162" s="69"/>
      <c r="U162" s="72"/>
    </row>
    <row r="163" spans="1:21" ht="79.5" customHeight="1">
      <c r="A163" s="383"/>
      <c r="B163" s="383"/>
      <c r="C163" s="69" t="s">
        <v>526</v>
      </c>
      <c r="D163" s="71">
        <v>0.02</v>
      </c>
      <c r="E163" s="87" t="s">
        <v>105</v>
      </c>
      <c r="F163" s="69">
        <v>0.2</v>
      </c>
      <c r="G163" s="9" t="s">
        <v>527</v>
      </c>
      <c r="H163" s="78">
        <v>43132</v>
      </c>
      <c r="I163" s="78">
        <v>43465</v>
      </c>
      <c r="J163" s="114">
        <v>0.25</v>
      </c>
      <c r="K163" s="69">
        <v>0.5</v>
      </c>
      <c r="L163" s="69">
        <v>0.75</v>
      </c>
      <c r="M163" s="69">
        <v>1</v>
      </c>
      <c r="N163" s="114">
        <v>0</v>
      </c>
      <c r="O163" s="115"/>
      <c r="P163" s="147">
        <v>0.3</v>
      </c>
      <c r="Q163" s="257" t="s">
        <v>1004</v>
      </c>
      <c r="R163" s="173">
        <v>0.87</v>
      </c>
      <c r="S163" s="173" t="s">
        <v>921</v>
      </c>
      <c r="T163" s="69"/>
      <c r="U163" s="72"/>
    </row>
    <row r="164" spans="1:21" ht="79.5" customHeight="1">
      <c r="A164" s="383"/>
      <c r="B164" s="383"/>
      <c r="C164" s="69" t="s">
        <v>528</v>
      </c>
      <c r="D164" s="71">
        <v>0.03</v>
      </c>
      <c r="E164" s="87" t="s">
        <v>112</v>
      </c>
      <c r="F164" s="87">
        <v>15</v>
      </c>
      <c r="G164" s="9" t="s">
        <v>529</v>
      </c>
      <c r="H164" s="78">
        <v>43132</v>
      </c>
      <c r="I164" s="78">
        <v>43465</v>
      </c>
      <c r="J164" s="114">
        <v>0.25</v>
      </c>
      <c r="K164" s="69">
        <v>0.5</v>
      </c>
      <c r="L164" s="69">
        <v>0.75</v>
      </c>
      <c r="M164" s="69">
        <v>1</v>
      </c>
      <c r="N164" s="114">
        <v>0.1333</v>
      </c>
      <c r="O164" s="114" t="s">
        <v>633</v>
      </c>
      <c r="P164" s="147">
        <v>0.47</v>
      </c>
      <c r="Q164" s="147" t="s">
        <v>735</v>
      </c>
      <c r="R164" s="173">
        <v>0.47</v>
      </c>
      <c r="S164" s="173" t="s">
        <v>735</v>
      </c>
      <c r="T164" s="69"/>
      <c r="U164" s="72"/>
    </row>
    <row r="165" spans="1:21" ht="79.5" customHeight="1">
      <c r="A165" s="383"/>
      <c r="B165" s="383"/>
      <c r="C165" s="69" t="s">
        <v>530</v>
      </c>
      <c r="D165" s="71">
        <v>0.02</v>
      </c>
      <c r="E165" s="87" t="s">
        <v>105</v>
      </c>
      <c r="F165" s="69">
        <v>1</v>
      </c>
      <c r="G165" s="9" t="s">
        <v>531</v>
      </c>
      <c r="H165" s="78">
        <v>43132</v>
      </c>
      <c r="I165" s="78">
        <v>43465</v>
      </c>
      <c r="J165" s="114">
        <v>0.25</v>
      </c>
      <c r="K165" s="69">
        <v>0.5</v>
      </c>
      <c r="L165" s="69">
        <v>0.75</v>
      </c>
      <c r="M165" s="69">
        <v>1</v>
      </c>
      <c r="N165" s="114">
        <v>0.25</v>
      </c>
      <c r="O165" s="114" t="s">
        <v>634</v>
      </c>
      <c r="P165" s="147">
        <v>0.45</v>
      </c>
      <c r="Q165" s="147" t="s">
        <v>736</v>
      </c>
      <c r="R165" s="173">
        <v>0.73</v>
      </c>
      <c r="S165" s="173" t="s">
        <v>736</v>
      </c>
      <c r="T165" s="69"/>
      <c r="U165" s="72"/>
    </row>
    <row r="166" spans="1:21" ht="79.5" customHeight="1">
      <c r="A166" s="383"/>
      <c r="B166" s="383"/>
      <c r="C166" s="69" t="s">
        <v>532</v>
      </c>
      <c r="D166" s="71">
        <v>0.03</v>
      </c>
      <c r="E166" s="87" t="s">
        <v>112</v>
      </c>
      <c r="F166" s="87">
        <v>1</v>
      </c>
      <c r="G166" s="9" t="s">
        <v>533</v>
      </c>
      <c r="H166" s="78">
        <v>43101</v>
      </c>
      <c r="I166" s="78">
        <v>43189</v>
      </c>
      <c r="J166" s="114">
        <v>1</v>
      </c>
      <c r="K166" s="69"/>
      <c r="L166" s="69"/>
      <c r="M166" s="69"/>
      <c r="N166" s="114">
        <v>1</v>
      </c>
      <c r="O166" s="114" t="s">
        <v>635</v>
      </c>
      <c r="P166" s="147">
        <v>1</v>
      </c>
      <c r="Q166" s="147" t="s">
        <v>737</v>
      </c>
      <c r="R166" s="173">
        <v>1</v>
      </c>
      <c r="S166" s="173" t="s">
        <v>922</v>
      </c>
      <c r="T166" s="69"/>
      <c r="U166" s="72"/>
    </row>
    <row r="167" spans="1:21" ht="79.5" customHeight="1">
      <c r="A167" s="383"/>
      <c r="B167" s="383"/>
      <c r="C167" s="69" t="s">
        <v>534</v>
      </c>
      <c r="D167" s="71">
        <v>0.03</v>
      </c>
      <c r="E167" s="87" t="s">
        <v>105</v>
      </c>
      <c r="F167" s="69">
        <v>0.8</v>
      </c>
      <c r="G167" s="9" t="s">
        <v>535</v>
      </c>
      <c r="H167" s="78">
        <v>43101</v>
      </c>
      <c r="I167" s="78">
        <v>43189</v>
      </c>
      <c r="J167" s="114">
        <v>1</v>
      </c>
      <c r="K167" s="69"/>
      <c r="L167" s="69"/>
      <c r="M167" s="69"/>
      <c r="N167" s="114">
        <v>1.08</v>
      </c>
      <c r="O167" s="114" t="s">
        <v>636</v>
      </c>
      <c r="P167" s="257">
        <v>1.08</v>
      </c>
      <c r="Q167" s="147" t="s">
        <v>738</v>
      </c>
      <c r="R167" s="173">
        <v>1.02</v>
      </c>
      <c r="S167" s="173" t="s">
        <v>922</v>
      </c>
      <c r="T167" s="69"/>
      <c r="U167" s="72"/>
    </row>
    <row r="168" spans="1:21" ht="79.5" customHeight="1">
      <c r="A168" s="383"/>
      <c r="B168" s="383"/>
      <c r="C168" s="69" t="s">
        <v>536</v>
      </c>
      <c r="D168" s="71">
        <v>0.02</v>
      </c>
      <c r="E168" s="87" t="s">
        <v>105</v>
      </c>
      <c r="F168" s="69">
        <v>1</v>
      </c>
      <c r="G168" s="9" t="s">
        <v>537</v>
      </c>
      <c r="H168" s="78">
        <v>43101</v>
      </c>
      <c r="I168" s="78">
        <v>43189</v>
      </c>
      <c r="J168" s="114">
        <v>1</v>
      </c>
      <c r="K168" s="69"/>
      <c r="L168" s="69"/>
      <c r="M168" s="69"/>
      <c r="N168" s="114">
        <v>0.76919999999999999</v>
      </c>
      <c r="O168" s="114" t="s">
        <v>637</v>
      </c>
      <c r="P168" s="147">
        <v>1</v>
      </c>
      <c r="Q168" s="151" t="s">
        <v>738</v>
      </c>
      <c r="R168" s="173">
        <v>0.76919999999999999</v>
      </c>
      <c r="S168" s="173" t="s">
        <v>922</v>
      </c>
      <c r="T168" s="69"/>
      <c r="U168" s="72"/>
    </row>
    <row r="169" spans="1:21" ht="79.5" customHeight="1">
      <c r="A169" s="383"/>
      <c r="B169" s="383"/>
      <c r="C169" s="69" t="s">
        <v>538</v>
      </c>
      <c r="D169" s="71">
        <v>0.02</v>
      </c>
      <c r="E169" s="87" t="s">
        <v>105</v>
      </c>
      <c r="F169" s="69">
        <v>1</v>
      </c>
      <c r="G169" s="9" t="s">
        <v>539</v>
      </c>
      <c r="H169" s="78">
        <v>43101</v>
      </c>
      <c r="I169" s="78">
        <v>43189</v>
      </c>
      <c r="J169" s="114">
        <v>1</v>
      </c>
      <c r="K169" s="69"/>
      <c r="L169" s="69"/>
      <c r="M169" s="69"/>
      <c r="N169" s="114">
        <v>1</v>
      </c>
      <c r="O169" s="114" t="s">
        <v>638</v>
      </c>
      <c r="P169" s="147">
        <v>1</v>
      </c>
      <c r="Q169" s="147" t="s">
        <v>738</v>
      </c>
      <c r="R169" s="173">
        <v>1</v>
      </c>
      <c r="S169" s="173" t="s">
        <v>922</v>
      </c>
      <c r="T169" s="69"/>
      <c r="U169" s="72"/>
    </row>
    <row r="170" spans="1:21" ht="79.5" customHeight="1">
      <c r="A170" s="383"/>
      <c r="B170" s="383"/>
      <c r="C170" s="69" t="s">
        <v>540</v>
      </c>
      <c r="D170" s="71">
        <v>0.02</v>
      </c>
      <c r="E170" s="87" t="s">
        <v>112</v>
      </c>
      <c r="F170" s="87">
        <v>1</v>
      </c>
      <c r="G170" s="9" t="s">
        <v>541</v>
      </c>
      <c r="H170" s="78">
        <v>43191</v>
      </c>
      <c r="I170" s="78" t="s">
        <v>542</v>
      </c>
      <c r="J170" s="114">
        <v>0.5</v>
      </c>
      <c r="K170" s="69">
        <v>1</v>
      </c>
      <c r="L170" s="69"/>
      <c r="M170" s="69"/>
      <c r="N170" s="114">
        <v>0</v>
      </c>
      <c r="O170" s="114"/>
      <c r="P170" s="147">
        <v>0</v>
      </c>
      <c r="Q170" s="167" t="s">
        <v>739</v>
      </c>
      <c r="R170" s="173">
        <v>1</v>
      </c>
      <c r="S170" s="173" t="s">
        <v>922</v>
      </c>
      <c r="T170" s="69"/>
      <c r="U170" s="72"/>
    </row>
    <row r="171" spans="1:21" ht="79.5" customHeight="1">
      <c r="A171" s="383"/>
      <c r="B171" s="383"/>
      <c r="C171" s="69" t="s">
        <v>543</v>
      </c>
      <c r="D171" s="71">
        <v>0.03</v>
      </c>
      <c r="E171" s="87" t="s">
        <v>105</v>
      </c>
      <c r="F171" s="69">
        <v>0.85</v>
      </c>
      <c r="G171" s="9" t="s">
        <v>544</v>
      </c>
      <c r="H171" s="78">
        <v>43132</v>
      </c>
      <c r="I171" s="78">
        <v>43465</v>
      </c>
      <c r="J171" s="114">
        <v>0.25</v>
      </c>
      <c r="K171" s="69">
        <v>0.5</v>
      </c>
      <c r="L171" s="69">
        <v>0.75</v>
      </c>
      <c r="M171" s="69">
        <v>1</v>
      </c>
      <c r="N171" s="114">
        <v>0.1741</v>
      </c>
      <c r="O171" s="114" t="s">
        <v>639</v>
      </c>
      <c r="P171" s="147">
        <v>0.42</v>
      </c>
      <c r="Q171" s="147" t="s">
        <v>740</v>
      </c>
      <c r="R171" s="173">
        <v>0.69</v>
      </c>
      <c r="S171" s="173" t="s">
        <v>923</v>
      </c>
      <c r="T171" s="69"/>
      <c r="U171" s="72"/>
    </row>
    <row r="172" spans="1:21" ht="79.5" customHeight="1">
      <c r="A172" s="383"/>
      <c r="B172" s="383"/>
      <c r="C172" s="69" t="s">
        <v>543</v>
      </c>
      <c r="D172" s="71">
        <v>0.03</v>
      </c>
      <c r="E172" s="87" t="s">
        <v>105</v>
      </c>
      <c r="F172" s="69">
        <v>0.85</v>
      </c>
      <c r="G172" s="9" t="s">
        <v>545</v>
      </c>
      <c r="H172" s="78">
        <v>43132</v>
      </c>
      <c r="I172" s="78">
        <v>43465</v>
      </c>
      <c r="J172" s="114">
        <v>0.25</v>
      </c>
      <c r="K172" s="69">
        <v>0.5</v>
      </c>
      <c r="L172" s="69">
        <v>0.75</v>
      </c>
      <c r="M172" s="69">
        <v>1</v>
      </c>
      <c r="N172" s="114">
        <v>0.159</v>
      </c>
      <c r="O172" s="114" t="s">
        <v>640</v>
      </c>
      <c r="P172" s="147">
        <v>0.23</v>
      </c>
      <c r="Q172" s="147" t="s">
        <v>741</v>
      </c>
      <c r="R172" s="173">
        <v>0.68</v>
      </c>
      <c r="S172" s="173" t="s">
        <v>924</v>
      </c>
      <c r="T172" s="69"/>
      <c r="U172" s="72"/>
    </row>
    <row r="173" spans="1:21" ht="79.5" customHeight="1">
      <c r="A173" s="383"/>
      <c r="B173" s="383"/>
      <c r="C173" s="69" t="s">
        <v>543</v>
      </c>
      <c r="D173" s="71">
        <v>0.03</v>
      </c>
      <c r="E173" s="87" t="s">
        <v>105</v>
      </c>
      <c r="F173" s="69">
        <v>0.8</v>
      </c>
      <c r="G173" s="9" t="s">
        <v>546</v>
      </c>
      <c r="H173" s="78">
        <v>43132</v>
      </c>
      <c r="I173" s="78">
        <v>43465</v>
      </c>
      <c r="J173" s="114">
        <v>0.25</v>
      </c>
      <c r="K173" s="69">
        <v>0.5</v>
      </c>
      <c r="L173" s="69">
        <v>0.75</v>
      </c>
      <c r="M173" s="69">
        <v>1</v>
      </c>
      <c r="N173" s="114">
        <v>0.18179999999999999</v>
      </c>
      <c r="O173" s="114" t="s">
        <v>641</v>
      </c>
      <c r="P173" s="147">
        <v>0.45</v>
      </c>
      <c r="Q173" s="147" t="s">
        <v>742</v>
      </c>
      <c r="R173" s="173">
        <v>0.73</v>
      </c>
      <c r="S173" s="173" t="s">
        <v>925</v>
      </c>
      <c r="T173" s="69"/>
      <c r="U173" s="72"/>
    </row>
    <row r="174" spans="1:21" ht="79.5" customHeight="1">
      <c r="A174" s="383"/>
      <c r="B174" s="383"/>
      <c r="C174" s="69" t="s">
        <v>547</v>
      </c>
      <c r="D174" s="71">
        <v>0.03</v>
      </c>
      <c r="E174" s="87" t="s">
        <v>112</v>
      </c>
      <c r="F174" s="87">
        <v>4</v>
      </c>
      <c r="G174" s="9" t="s">
        <v>548</v>
      </c>
      <c r="H174" s="78">
        <v>43132</v>
      </c>
      <c r="I174" s="78">
        <v>43159</v>
      </c>
      <c r="J174" s="114">
        <v>1</v>
      </c>
      <c r="K174" s="69"/>
      <c r="L174" s="69"/>
      <c r="M174" s="69"/>
      <c r="N174" s="114">
        <v>0.5</v>
      </c>
      <c r="O174" s="114" t="s">
        <v>642</v>
      </c>
      <c r="P174" s="147">
        <v>1</v>
      </c>
      <c r="Q174" s="147" t="s">
        <v>743</v>
      </c>
      <c r="R174" s="173">
        <v>1</v>
      </c>
      <c r="S174" s="173" t="s">
        <v>926</v>
      </c>
      <c r="T174" s="69"/>
      <c r="U174" s="72"/>
    </row>
    <row r="175" spans="1:21" ht="110.25">
      <c r="A175" s="383"/>
      <c r="B175" s="383"/>
      <c r="C175" s="69" t="s">
        <v>549</v>
      </c>
      <c r="D175" s="71">
        <v>0.03</v>
      </c>
      <c r="E175" s="87" t="s">
        <v>112</v>
      </c>
      <c r="F175" s="87">
        <v>4</v>
      </c>
      <c r="G175" s="9" t="s">
        <v>550</v>
      </c>
      <c r="H175" s="78">
        <v>43160</v>
      </c>
      <c r="I175" s="78">
        <v>43465</v>
      </c>
      <c r="J175" s="114">
        <v>0.25</v>
      </c>
      <c r="K175" s="69">
        <v>0.5</v>
      </c>
      <c r="L175" s="69">
        <v>0.75</v>
      </c>
      <c r="M175" s="69">
        <v>1</v>
      </c>
      <c r="N175" s="114">
        <v>0</v>
      </c>
      <c r="O175" s="114" t="s">
        <v>643</v>
      </c>
      <c r="P175" s="147">
        <v>0.25</v>
      </c>
      <c r="Q175" s="147" t="s">
        <v>744</v>
      </c>
      <c r="R175" s="173">
        <v>0.7</v>
      </c>
      <c r="S175" s="173" t="s">
        <v>927</v>
      </c>
      <c r="T175" s="69"/>
      <c r="U175" s="72"/>
    </row>
    <row r="176" spans="1:21" ht="47.25">
      <c r="A176" s="383"/>
      <c r="B176" s="383"/>
      <c r="C176" s="69" t="s">
        <v>551</v>
      </c>
      <c r="D176" s="71">
        <v>0.02</v>
      </c>
      <c r="E176" s="87" t="s">
        <v>112</v>
      </c>
      <c r="F176" s="87">
        <v>1</v>
      </c>
      <c r="G176" s="9" t="s">
        <v>552</v>
      </c>
      <c r="H176" s="78">
        <v>43132</v>
      </c>
      <c r="I176" s="78">
        <v>43159</v>
      </c>
      <c r="J176" s="114">
        <v>1</v>
      </c>
      <c r="K176" s="69"/>
      <c r="L176" s="69"/>
      <c r="M176" s="69"/>
      <c r="N176" s="114">
        <v>0</v>
      </c>
      <c r="O176" s="115"/>
      <c r="P176" s="147">
        <v>1</v>
      </c>
      <c r="Q176" s="147" t="s">
        <v>745</v>
      </c>
      <c r="R176" s="173">
        <v>1</v>
      </c>
      <c r="S176" s="173" t="s">
        <v>928</v>
      </c>
      <c r="T176" s="69"/>
      <c r="U176" s="72"/>
    </row>
    <row r="177" spans="1:21" ht="110.25">
      <c r="A177" s="384"/>
      <c r="B177" s="384"/>
      <c r="C177" s="69" t="s">
        <v>553</v>
      </c>
      <c r="D177" s="71">
        <v>0.03</v>
      </c>
      <c r="E177" s="87" t="s">
        <v>105</v>
      </c>
      <c r="F177" s="69">
        <v>1</v>
      </c>
      <c r="G177" s="9" t="s">
        <v>554</v>
      </c>
      <c r="H177" s="78">
        <v>43160</v>
      </c>
      <c r="I177" s="78">
        <v>43465</v>
      </c>
      <c r="J177" s="114">
        <v>0.25</v>
      </c>
      <c r="K177" s="69">
        <v>0.5</v>
      </c>
      <c r="L177" s="69">
        <v>0.75</v>
      </c>
      <c r="M177" s="69">
        <v>1</v>
      </c>
      <c r="N177" s="114">
        <v>0</v>
      </c>
      <c r="O177" s="115"/>
      <c r="P177" s="147">
        <v>0.25</v>
      </c>
      <c r="Q177" s="147" t="s">
        <v>746</v>
      </c>
      <c r="R177" s="173">
        <v>0.7</v>
      </c>
      <c r="S177" s="173" t="s">
        <v>746</v>
      </c>
      <c r="T177" s="69"/>
      <c r="U177" s="72"/>
    </row>
    <row r="178" spans="1:21">
      <c r="A178" s="76"/>
      <c r="B178" s="76"/>
      <c r="C178" s="97"/>
      <c r="D178" s="77">
        <f>SUM(D159:D177)</f>
        <v>0.50000000000000022</v>
      </c>
      <c r="E178" s="97"/>
      <c r="F178" s="98"/>
      <c r="G178" s="97"/>
      <c r="H178" s="97"/>
      <c r="I178" s="97"/>
      <c r="J178" s="97"/>
      <c r="K178" s="97"/>
      <c r="L178" s="97"/>
      <c r="M178" s="97"/>
      <c r="N178" s="72"/>
      <c r="O178" s="72"/>
      <c r="P178" s="72"/>
      <c r="Q178" s="72"/>
      <c r="R178" s="72"/>
      <c r="S178" s="72"/>
      <c r="T178" s="72"/>
      <c r="U178" s="72"/>
    </row>
    <row r="179" spans="1:21" ht="23.25" customHeight="1">
      <c r="A179" s="316" t="s">
        <v>515</v>
      </c>
      <c r="B179" s="316"/>
      <c r="C179" s="316"/>
      <c r="D179" s="316"/>
      <c r="E179" s="316"/>
      <c r="F179" s="316"/>
      <c r="G179" s="316"/>
      <c r="H179" s="316"/>
      <c r="I179" s="316"/>
      <c r="J179" s="316"/>
      <c r="K179" s="316"/>
      <c r="L179" s="316"/>
      <c r="M179" s="316"/>
      <c r="N179" s="316"/>
      <c r="O179" s="316"/>
      <c r="P179" s="316"/>
      <c r="Q179" s="316"/>
      <c r="R179" s="316"/>
      <c r="S179" s="316"/>
      <c r="T179" s="316"/>
      <c r="U179" s="316"/>
    </row>
    <row r="180" spans="1:21" ht="15.75" customHeight="1">
      <c r="A180" s="339" t="s">
        <v>103</v>
      </c>
      <c r="B180" s="339" t="s">
        <v>74</v>
      </c>
      <c r="C180" s="339" t="s">
        <v>65</v>
      </c>
      <c r="D180" s="339" t="s">
        <v>66</v>
      </c>
      <c r="E180" s="339" t="s">
        <v>67</v>
      </c>
      <c r="F180" s="340" t="s">
        <v>68</v>
      </c>
      <c r="G180" s="339" t="s">
        <v>69</v>
      </c>
      <c r="H180" s="341" t="s">
        <v>70</v>
      </c>
      <c r="I180" s="341"/>
      <c r="J180" s="341" t="s">
        <v>79</v>
      </c>
      <c r="K180" s="341"/>
      <c r="L180" s="341"/>
      <c r="M180" s="341"/>
      <c r="N180" s="331" t="s">
        <v>511</v>
      </c>
      <c r="O180" s="331"/>
      <c r="P180" s="331"/>
      <c r="Q180" s="331"/>
      <c r="R180" s="331"/>
      <c r="S180" s="331"/>
      <c r="T180" s="331"/>
      <c r="U180" s="331"/>
    </row>
    <row r="181" spans="1:21" ht="15.75">
      <c r="A181" s="339"/>
      <c r="B181" s="339"/>
      <c r="C181" s="339"/>
      <c r="D181" s="339"/>
      <c r="E181" s="339"/>
      <c r="F181" s="340"/>
      <c r="G181" s="339"/>
      <c r="H181" s="332" t="s">
        <v>71</v>
      </c>
      <c r="I181" s="332" t="s">
        <v>197</v>
      </c>
      <c r="J181" s="15" t="s">
        <v>75</v>
      </c>
      <c r="K181" s="15" t="s">
        <v>76</v>
      </c>
      <c r="L181" s="15" t="s">
        <v>77</v>
      </c>
      <c r="M181" s="15" t="s">
        <v>78</v>
      </c>
      <c r="N181" s="333" t="s">
        <v>75</v>
      </c>
      <c r="O181" s="333"/>
      <c r="P181" s="333" t="s">
        <v>76</v>
      </c>
      <c r="Q181" s="333"/>
      <c r="R181" s="333" t="s">
        <v>77</v>
      </c>
      <c r="S181" s="333"/>
      <c r="T181" s="333" t="s">
        <v>78</v>
      </c>
      <c r="U181" s="333"/>
    </row>
    <row r="182" spans="1:21" ht="31.5">
      <c r="A182" s="339"/>
      <c r="B182" s="339"/>
      <c r="C182" s="339"/>
      <c r="D182" s="339"/>
      <c r="E182" s="339"/>
      <c r="F182" s="340"/>
      <c r="G182" s="339"/>
      <c r="H182" s="332"/>
      <c r="I182" s="332"/>
      <c r="J182" s="101" t="s">
        <v>64</v>
      </c>
      <c r="K182" s="55" t="s">
        <v>64</v>
      </c>
      <c r="L182" s="55" t="s">
        <v>64</v>
      </c>
      <c r="M182" s="55" t="s">
        <v>64</v>
      </c>
      <c r="N182" s="185" t="s">
        <v>514</v>
      </c>
      <c r="O182" s="185" t="s">
        <v>513</v>
      </c>
      <c r="P182" s="185" t="s">
        <v>514</v>
      </c>
      <c r="Q182" s="185" t="s">
        <v>513</v>
      </c>
      <c r="R182" s="185" t="s">
        <v>514</v>
      </c>
      <c r="S182" s="185" t="s">
        <v>513</v>
      </c>
      <c r="T182" s="185" t="s">
        <v>514</v>
      </c>
      <c r="U182" s="185" t="s">
        <v>513</v>
      </c>
    </row>
    <row r="183" spans="1:21" ht="33.75">
      <c r="A183" s="316" t="s">
        <v>392</v>
      </c>
      <c r="B183" s="316"/>
      <c r="C183" s="316"/>
      <c r="D183" s="316"/>
      <c r="E183" s="316"/>
      <c r="F183" s="316"/>
      <c r="G183" s="316"/>
      <c r="H183" s="316"/>
      <c r="I183" s="316"/>
      <c r="J183" s="316"/>
      <c r="K183" s="316"/>
      <c r="L183" s="316"/>
      <c r="M183" s="316"/>
      <c r="N183" s="316"/>
      <c r="O183" s="316"/>
      <c r="P183" s="316"/>
      <c r="Q183" s="316"/>
      <c r="R183" s="316"/>
      <c r="S183" s="316"/>
      <c r="T183" s="316"/>
      <c r="U183" s="316"/>
    </row>
    <row r="184" spans="1:21" ht="165">
      <c r="A184" s="371"/>
      <c r="B184" s="371"/>
      <c r="C184" s="46" t="s">
        <v>393</v>
      </c>
      <c r="D184" s="29">
        <v>0.25</v>
      </c>
      <c r="E184" s="60" t="s">
        <v>105</v>
      </c>
      <c r="F184" s="33">
        <v>0.9</v>
      </c>
      <c r="G184" s="47" t="s">
        <v>394</v>
      </c>
      <c r="H184" s="23">
        <v>43102</v>
      </c>
      <c r="I184" s="23">
        <v>43464</v>
      </c>
      <c r="J184" s="102"/>
      <c r="K184" s="32">
        <v>0.3</v>
      </c>
      <c r="L184" s="60"/>
      <c r="M184" s="33">
        <v>0.9</v>
      </c>
      <c r="N184" s="141">
        <v>0.2</v>
      </c>
      <c r="O184" s="47" t="s">
        <v>644</v>
      </c>
      <c r="P184" s="170">
        <v>0.3</v>
      </c>
      <c r="Q184" s="47" t="s">
        <v>782</v>
      </c>
      <c r="R184" s="141">
        <v>0.5</v>
      </c>
      <c r="S184" s="47" t="s">
        <v>930</v>
      </c>
      <c r="T184" s="77">
        <v>0.9</v>
      </c>
      <c r="U184" s="135" t="s">
        <v>1051</v>
      </c>
    </row>
    <row r="185" spans="1:21" ht="318.75">
      <c r="A185" s="371"/>
      <c r="B185" s="371"/>
      <c r="C185" s="48" t="s">
        <v>395</v>
      </c>
      <c r="D185" s="29">
        <v>0.25</v>
      </c>
      <c r="E185" s="60" t="s">
        <v>105</v>
      </c>
      <c r="F185" s="33">
        <v>0.8</v>
      </c>
      <c r="G185" s="52" t="s">
        <v>396</v>
      </c>
      <c r="H185" s="23">
        <v>43102</v>
      </c>
      <c r="I185" s="23">
        <v>43464</v>
      </c>
      <c r="J185" s="102"/>
      <c r="K185" s="32">
        <v>0.3</v>
      </c>
      <c r="L185" s="60"/>
      <c r="M185" s="33">
        <v>0.8</v>
      </c>
      <c r="N185" s="141">
        <v>0.5</v>
      </c>
      <c r="O185" s="47" t="s">
        <v>645</v>
      </c>
      <c r="P185" s="170">
        <v>0.6</v>
      </c>
      <c r="Q185" s="47" t="s">
        <v>783</v>
      </c>
      <c r="R185" s="180">
        <v>1</v>
      </c>
      <c r="S185" s="47" t="s">
        <v>929</v>
      </c>
      <c r="T185" s="216">
        <v>0.8</v>
      </c>
      <c r="U185" s="135" t="s">
        <v>1052</v>
      </c>
    </row>
    <row r="186" spans="1:21">
      <c r="A186" s="76"/>
      <c r="B186" s="76"/>
      <c r="C186" s="76"/>
      <c r="D186" s="77">
        <f>SUM(D184:D185)</f>
        <v>0.5</v>
      </c>
      <c r="E186" s="76"/>
      <c r="F186" s="59"/>
      <c r="G186" s="76"/>
      <c r="H186" s="76"/>
      <c r="I186" s="76"/>
      <c r="J186" s="76"/>
      <c r="K186" s="76"/>
      <c r="L186" s="76"/>
      <c r="M186" s="76"/>
      <c r="N186" s="72"/>
      <c r="O186" s="72"/>
      <c r="P186" s="72"/>
      <c r="Q186" s="72"/>
      <c r="R186" s="72"/>
      <c r="S186" s="72"/>
      <c r="T186" s="72"/>
      <c r="U186" s="72"/>
    </row>
    <row r="187" spans="1:21" ht="33.75">
      <c r="A187" s="316" t="s">
        <v>515</v>
      </c>
      <c r="B187" s="316"/>
      <c r="C187" s="316"/>
      <c r="D187" s="316"/>
      <c r="E187" s="316"/>
      <c r="F187" s="316"/>
      <c r="G187" s="316"/>
      <c r="H187" s="316"/>
      <c r="I187" s="316"/>
      <c r="J187" s="316"/>
      <c r="K187" s="316"/>
      <c r="L187" s="316"/>
      <c r="M187" s="316"/>
      <c r="N187" s="316"/>
      <c r="O187" s="316"/>
      <c r="P187" s="316"/>
      <c r="Q187" s="316"/>
      <c r="R187" s="316"/>
      <c r="S187" s="316"/>
      <c r="T187" s="316"/>
      <c r="U187" s="316"/>
    </row>
    <row r="188" spans="1:21" ht="18.75">
      <c r="A188" s="339" t="s">
        <v>103</v>
      </c>
      <c r="B188" s="339" t="s">
        <v>74</v>
      </c>
      <c r="C188" s="339" t="s">
        <v>65</v>
      </c>
      <c r="D188" s="339" t="s">
        <v>66</v>
      </c>
      <c r="E188" s="339" t="s">
        <v>67</v>
      </c>
      <c r="F188" s="340" t="s">
        <v>68</v>
      </c>
      <c r="G188" s="339" t="s">
        <v>69</v>
      </c>
      <c r="H188" s="341" t="s">
        <v>70</v>
      </c>
      <c r="I188" s="341"/>
      <c r="J188" s="341" t="s">
        <v>79</v>
      </c>
      <c r="K188" s="341"/>
      <c r="L188" s="341"/>
      <c r="M188" s="341"/>
      <c r="N188" s="331" t="s">
        <v>511</v>
      </c>
      <c r="O188" s="331"/>
      <c r="P188" s="331"/>
      <c r="Q188" s="331"/>
      <c r="R188" s="331"/>
      <c r="S188" s="331"/>
      <c r="T188" s="331"/>
      <c r="U188" s="331"/>
    </row>
    <row r="189" spans="1:21" ht="15.75">
      <c r="A189" s="339"/>
      <c r="B189" s="339"/>
      <c r="C189" s="339"/>
      <c r="D189" s="339"/>
      <c r="E189" s="339"/>
      <c r="F189" s="340"/>
      <c r="G189" s="339"/>
      <c r="H189" s="332" t="s">
        <v>71</v>
      </c>
      <c r="I189" s="332" t="s">
        <v>197</v>
      </c>
      <c r="J189" s="15" t="s">
        <v>75</v>
      </c>
      <c r="K189" s="15" t="s">
        <v>76</v>
      </c>
      <c r="L189" s="15" t="s">
        <v>77</v>
      </c>
      <c r="M189" s="15" t="s">
        <v>78</v>
      </c>
      <c r="N189" s="333" t="s">
        <v>75</v>
      </c>
      <c r="O189" s="333"/>
      <c r="P189" s="333" t="s">
        <v>76</v>
      </c>
      <c r="Q189" s="333"/>
      <c r="R189" s="333" t="s">
        <v>77</v>
      </c>
      <c r="S189" s="333"/>
      <c r="T189" s="333" t="s">
        <v>78</v>
      </c>
      <c r="U189" s="333"/>
    </row>
    <row r="190" spans="1:21" ht="31.5">
      <c r="A190" s="339"/>
      <c r="B190" s="339"/>
      <c r="C190" s="339"/>
      <c r="D190" s="339"/>
      <c r="E190" s="339"/>
      <c r="F190" s="340"/>
      <c r="G190" s="339"/>
      <c r="H190" s="332"/>
      <c r="I190" s="332"/>
      <c r="J190" s="101" t="s">
        <v>64</v>
      </c>
      <c r="K190" s="55" t="s">
        <v>64</v>
      </c>
      <c r="L190" s="55" t="s">
        <v>64</v>
      </c>
      <c r="M190" s="55" t="s">
        <v>64</v>
      </c>
      <c r="N190" s="185" t="s">
        <v>514</v>
      </c>
      <c r="O190" s="185" t="s">
        <v>513</v>
      </c>
      <c r="P190" s="185" t="s">
        <v>514</v>
      </c>
      <c r="Q190" s="185" t="s">
        <v>513</v>
      </c>
      <c r="R190" s="185" t="s">
        <v>514</v>
      </c>
      <c r="S190" s="185" t="s">
        <v>513</v>
      </c>
      <c r="T190" s="185" t="s">
        <v>514</v>
      </c>
      <c r="U190" s="185" t="s">
        <v>513</v>
      </c>
    </row>
    <row r="191" spans="1:21" ht="33.75">
      <c r="A191" s="316" t="s">
        <v>397</v>
      </c>
      <c r="B191" s="316"/>
      <c r="C191" s="316"/>
      <c r="D191" s="316"/>
      <c r="E191" s="316"/>
      <c r="F191" s="316"/>
      <c r="G191" s="316"/>
      <c r="H191" s="316"/>
      <c r="I191" s="316"/>
      <c r="J191" s="316"/>
      <c r="K191" s="316"/>
      <c r="L191" s="316"/>
      <c r="M191" s="316"/>
      <c r="N191" s="316"/>
      <c r="O191" s="316"/>
      <c r="P191" s="316"/>
      <c r="Q191" s="316"/>
      <c r="R191" s="316"/>
      <c r="S191" s="316"/>
      <c r="T191" s="316"/>
      <c r="U191" s="316"/>
    </row>
    <row r="192" spans="1:21" ht="409.5">
      <c r="A192" s="369" t="s">
        <v>199</v>
      </c>
      <c r="B192" s="319" t="s">
        <v>200</v>
      </c>
      <c r="C192" s="34" t="s">
        <v>398</v>
      </c>
      <c r="D192" s="35">
        <v>0.09</v>
      </c>
      <c r="E192" s="60" t="s">
        <v>112</v>
      </c>
      <c r="F192" s="60">
        <v>4</v>
      </c>
      <c r="G192" s="60" t="s">
        <v>399</v>
      </c>
      <c r="H192" s="30">
        <v>43101</v>
      </c>
      <c r="I192" s="30">
        <v>43465</v>
      </c>
      <c r="J192" s="35">
        <v>0.25</v>
      </c>
      <c r="K192" s="31">
        <v>2</v>
      </c>
      <c r="L192" s="31">
        <v>3</v>
      </c>
      <c r="M192" s="31">
        <v>4</v>
      </c>
      <c r="N192" s="43">
        <v>0.5</v>
      </c>
      <c r="O192" s="134" t="s">
        <v>646</v>
      </c>
      <c r="P192" s="43">
        <v>0.75</v>
      </c>
      <c r="Q192" s="165" t="s">
        <v>726</v>
      </c>
      <c r="R192" s="201">
        <v>1</v>
      </c>
      <c r="S192" s="202" t="s">
        <v>931</v>
      </c>
      <c r="T192" s="43">
        <v>1</v>
      </c>
      <c r="U192" s="135" t="s">
        <v>1045</v>
      </c>
    </row>
    <row r="193" spans="1:21" ht="63">
      <c r="A193" s="369"/>
      <c r="B193" s="319"/>
      <c r="C193" s="60" t="s">
        <v>400</v>
      </c>
      <c r="D193" s="35">
        <v>0.04</v>
      </c>
      <c r="E193" s="60" t="s">
        <v>112</v>
      </c>
      <c r="F193" s="60">
        <v>1</v>
      </c>
      <c r="G193" s="60" t="s">
        <v>401</v>
      </c>
      <c r="H193" s="30">
        <v>43101</v>
      </c>
      <c r="I193" s="30">
        <v>43465</v>
      </c>
      <c r="J193" s="35">
        <v>0.25</v>
      </c>
      <c r="K193" s="36">
        <v>0.5</v>
      </c>
      <c r="L193" s="36">
        <v>0.75</v>
      </c>
      <c r="M193" s="36">
        <v>1</v>
      </c>
      <c r="N193" s="43">
        <v>0.25</v>
      </c>
      <c r="O193" s="134" t="s">
        <v>647</v>
      </c>
      <c r="P193" s="43">
        <v>0.5</v>
      </c>
      <c r="Q193" s="166" t="s">
        <v>727</v>
      </c>
      <c r="R193" s="201">
        <v>0.75</v>
      </c>
      <c r="S193" s="203" t="s">
        <v>727</v>
      </c>
      <c r="T193" s="43">
        <v>1</v>
      </c>
      <c r="U193" s="142" t="s">
        <v>1046</v>
      </c>
    </row>
    <row r="194" spans="1:21" ht="89.25">
      <c r="A194" s="369"/>
      <c r="B194" s="319"/>
      <c r="C194" s="60" t="s">
        <v>402</v>
      </c>
      <c r="D194" s="35">
        <v>0.09</v>
      </c>
      <c r="E194" s="60" t="s">
        <v>112</v>
      </c>
      <c r="F194" s="60">
        <v>2</v>
      </c>
      <c r="G194" s="60" t="s">
        <v>403</v>
      </c>
      <c r="H194" s="30">
        <v>43101</v>
      </c>
      <c r="I194" s="30">
        <v>43373</v>
      </c>
      <c r="J194" s="35">
        <v>0.5</v>
      </c>
      <c r="K194" s="31"/>
      <c r="L194" s="31">
        <v>2</v>
      </c>
      <c r="M194" s="31"/>
      <c r="N194" s="43">
        <v>0</v>
      </c>
      <c r="O194" s="142" t="s">
        <v>648</v>
      </c>
      <c r="P194" s="43">
        <v>0</v>
      </c>
      <c r="Q194" s="142" t="s">
        <v>648</v>
      </c>
      <c r="R194" s="201">
        <v>0</v>
      </c>
      <c r="S194" s="136" t="s">
        <v>648</v>
      </c>
      <c r="T194" s="115"/>
      <c r="U194" s="115"/>
    </row>
    <row r="195" spans="1:21" ht="229.5">
      <c r="A195" s="369"/>
      <c r="B195" s="319"/>
      <c r="C195" s="60" t="s">
        <v>404</v>
      </c>
      <c r="D195" s="35">
        <v>0.09</v>
      </c>
      <c r="E195" s="60" t="s">
        <v>112</v>
      </c>
      <c r="F195" s="60">
        <v>0.4</v>
      </c>
      <c r="G195" s="60" t="s">
        <v>405</v>
      </c>
      <c r="H195" s="30">
        <v>43101</v>
      </c>
      <c r="I195" s="30">
        <v>43465</v>
      </c>
      <c r="J195" s="35">
        <v>0.25</v>
      </c>
      <c r="K195" s="37">
        <v>0.2</v>
      </c>
      <c r="L195" s="37">
        <v>0.3</v>
      </c>
      <c r="M195" s="37">
        <v>0.4</v>
      </c>
      <c r="N195" s="43">
        <v>0.25</v>
      </c>
      <c r="O195" s="134" t="s">
        <v>649</v>
      </c>
      <c r="P195" s="43">
        <v>0.5</v>
      </c>
      <c r="Q195" s="135" t="s">
        <v>728</v>
      </c>
      <c r="R195" s="201">
        <v>0.75</v>
      </c>
      <c r="S195" s="202" t="s">
        <v>932</v>
      </c>
      <c r="T195" s="43">
        <v>1</v>
      </c>
      <c r="U195" s="135" t="s">
        <v>1047</v>
      </c>
    </row>
    <row r="196" spans="1:21" ht="306">
      <c r="A196" s="369"/>
      <c r="B196" s="319"/>
      <c r="C196" s="60" t="s">
        <v>406</v>
      </c>
      <c r="D196" s="35">
        <v>0.04</v>
      </c>
      <c r="E196" s="60" t="s">
        <v>112</v>
      </c>
      <c r="F196" s="60">
        <v>4</v>
      </c>
      <c r="G196" s="60" t="s">
        <v>407</v>
      </c>
      <c r="H196" s="30">
        <v>43101</v>
      </c>
      <c r="I196" s="30">
        <v>43465</v>
      </c>
      <c r="J196" s="35">
        <v>0.25</v>
      </c>
      <c r="K196" s="31">
        <v>2</v>
      </c>
      <c r="L196" s="31">
        <v>3</v>
      </c>
      <c r="M196" s="31">
        <v>4</v>
      </c>
      <c r="N196" s="43">
        <v>0.25</v>
      </c>
      <c r="O196" s="142" t="s">
        <v>650</v>
      </c>
      <c r="P196" s="43">
        <v>0.75</v>
      </c>
      <c r="Q196" s="134" t="s">
        <v>729</v>
      </c>
      <c r="R196" s="204">
        <v>1</v>
      </c>
      <c r="S196" s="202" t="s">
        <v>933</v>
      </c>
      <c r="T196" s="268">
        <v>1</v>
      </c>
      <c r="U196" s="135" t="s">
        <v>933</v>
      </c>
    </row>
    <row r="197" spans="1:21" ht="140.25">
      <c r="A197" s="369"/>
      <c r="B197" s="319"/>
      <c r="C197" s="60" t="s">
        <v>408</v>
      </c>
      <c r="D197" s="35">
        <v>0.06</v>
      </c>
      <c r="E197" s="60" t="s">
        <v>112</v>
      </c>
      <c r="F197" s="60">
        <v>6</v>
      </c>
      <c r="G197" s="60" t="s">
        <v>409</v>
      </c>
      <c r="H197" s="30">
        <v>43101</v>
      </c>
      <c r="I197" s="30">
        <v>43465</v>
      </c>
      <c r="J197" s="35">
        <v>0.25</v>
      </c>
      <c r="K197" s="31">
        <v>3</v>
      </c>
      <c r="L197" s="31">
        <v>4</v>
      </c>
      <c r="M197" s="31">
        <v>6</v>
      </c>
      <c r="N197" s="43">
        <v>0.5</v>
      </c>
      <c r="O197" s="142" t="s">
        <v>651</v>
      </c>
      <c r="P197" s="43">
        <v>0.5</v>
      </c>
      <c r="Q197" s="165" t="s">
        <v>730</v>
      </c>
      <c r="R197" s="201">
        <v>1</v>
      </c>
      <c r="S197" s="202" t="s">
        <v>934</v>
      </c>
      <c r="T197" s="43">
        <v>1</v>
      </c>
      <c r="U197" s="135" t="s">
        <v>934</v>
      </c>
    </row>
    <row r="198" spans="1:21" ht="229.5">
      <c r="A198" s="369"/>
      <c r="B198" s="319"/>
      <c r="C198" s="60" t="s">
        <v>410</v>
      </c>
      <c r="D198" s="35">
        <v>0.09</v>
      </c>
      <c r="E198" s="60" t="s">
        <v>112</v>
      </c>
      <c r="F198" s="60">
        <v>4</v>
      </c>
      <c r="G198" s="60" t="s">
        <v>411</v>
      </c>
      <c r="H198" s="30">
        <v>43101</v>
      </c>
      <c r="I198" s="30">
        <v>43465</v>
      </c>
      <c r="J198" s="35">
        <v>0.25</v>
      </c>
      <c r="K198" s="31">
        <v>2</v>
      </c>
      <c r="L198" s="31">
        <v>3</v>
      </c>
      <c r="M198" s="31">
        <v>4</v>
      </c>
      <c r="N198" s="43">
        <v>0.25</v>
      </c>
      <c r="O198" s="142" t="s">
        <v>652</v>
      </c>
      <c r="P198" s="43">
        <v>0.75</v>
      </c>
      <c r="Q198" s="135" t="s">
        <v>731</v>
      </c>
      <c r="R198" s="201">
        <v>0.85</v>
      </c>
      <c r="S198" s="202" t="s">
        <v>935</v>
      </c>
      <c r="T198" s="43">
        <v>1</v>
      </c>
      <c r="U198" s="135" t="s">
        <v>1048</v>
      </c>
    </row>
    <row r="199" spans="1:21">
      <c r="A199" s="76"/>
      <c r="B199" s="76"/>
      <c r="C199" s="76"/>
      <c r="D199" s="77">
        <f>SUM(D192:D198)</f>
        <v>0.5</v>
      </c>
      <c r="E199" s="76"/>
      <c r="F199" s="59"/>
      <c r="G199" s="76"/>
      <c r="H199" s="76"/>
      <c r="I199" s="76"/>
      <c r="J199" s="76"/>
      <c r="K199" s="76"/>
      <c r="L199" s="76"/>
      <c r="M199" s="76"/>
      <c r="N199" s="72"/>
      <c r="O199" s="72"/>
      <c r="P199" s="72"/>
      <c r="Q199" s="72"/>
      <c r="R199" s="72"/>
      <c r="S199" s="72"/>
      <c r="T199" s="72"/>
      <c r="U199" s="72"/>
    </row>
    <row r="200" spans="1:21" ht="33.75">
      <c r="A200" s="316" t="s">
        <v>515</v>
      </c>
      <c r="B200" s="316"/>
      <c r="C200" s="316"/>
      <c r="D200" s="316"/>
      <c r="E200" s="316"/>
      <c r="F200" s="316"/>
      <c r="G200" s="316"/>
      <c r="H200" s="316"/>
      <c r="I200" s="316"/>
      <c r="J200" s="316"/>
      <c r="K200" s="316"/>
      <c r="L200" s="316"/>
      <c r="M200" s="316"/>
      <c r="N200" s="316"/>
      <c r="O200" s="316"/>
      <c r="P200" s="316"/>
      <c r="Q200" s="316"/>
      <c r="R200" s="316"/>
      <c r="S200" s="316"/>
      <c r="T200" s="316"/>
      <c r="U200" s="316"/>
    </row>
    <row r="201" spans="1:21" ht="18.75">
      <c r="A201" s="339" t="s">
        <v>103</v>
      </c>
      <c r="B201" s="339" t="s">
        <v>74</v>
      </c>
      <c r="C201" s="339" t="s">
        <v>65</v>
      </c>
      <c r="D201" s="339" t="s">
        <v>66</v>
      </c>
      <c r="E201" s="339" t="s">
        <v>67</v>
      </c>
      <c r="F201" s="340" t="s">
        <v>68</v>
      </c>
      <c r="G201" s="339" t="s">
        <v>69</v>
      </c>
      <c r="H201" s="341" t="s">
        <v>70</v>
      </c>
      <c r="I201" s="341"/>
      <c r="J201" s="341" t="s">
        <v>79</v>
      </c>
      <c r="K201" s="341"/>
      <c r="L201" s="341"/>
      <c r="M201" s="341"/>
      <c r="N201" s="331" t="s">
        <v>511</v>
      </c>
      <c r="O201" s="331"/>
      <c r="P201" s="331"/>
      <c r="Q201" s="331"/>
      <c r="R201" s="331"/>
      <c r="S201" s="331"/>
      <c r="T201" s="331"/>
      <c r="U201" s="331"/>
    </row>
    <row r="202" spans="1:21" ht="15.75">
      <c r="A202" s="339"/>
      <c r="B202" s="339"/>
      <c r="C202" s="339"/>
      <c r="D202" s="339"/>
      <c r="E202" s="339"/>
      <c r="F202" s="340"/>
      <c r="G202" s="339"/>
      <c r="H202" s="332" t="s">
        <v>71</v>
      </c>
      <c r="I202" s="332" t="s">
        <v>197</v>
      </c>
      <c r="J202" s="15" t="s">
        <v>75</v>
      </c>
      <c r="K202" s="15" t="s">
        <v>76</v>
      </c>
      <c r="L202" s="15" t="s">
        <v>77</v>
      </c>
      <c r="M202" s="15" t="s">
        <v>78</v>
      </c>
      <c r="N202" s="333" t="s">
        <v>75</v>
      </c>
      <c r="O202" s="333"/>
      <c r="P202" s="333" t="s">
        <v>76</v>
      </c>
      <c r="Q202" s="333"/>
      <c r="R202" s="333" t="s">
        <v>77</v>
      </c>
      <c r="S202" s="333"/>
      <c r="T202" s="333" t="s">
        <v>78</v>
      </c>
      <c r="U202" s="333"/>
    </row>
    <row r="203" spans="1:21" ht="31.5">
      <c r="A203" s="339"/>
      <c r="B203" s="339"/>
      <c r="C203" s="339"/>
      <c r="D203" s="339"/>
      <c r="E203" s="339"/>
      <c r="F203" s="340"/>
      <c r="G203" s="339"/>
      <c r="H203" s="332"/>
      <c r="I203" s="332"/>
      <c r="J203" s="101" t="s">
        <v>64</v>
      </c>
      <c r="K203" s="55" t="s">
        <v>64</v>
      </c>
      <c r="L203" s="55" t="s">
        <v>64</v>
      </c>
      <c r="M203" s="55" t="s">
        <v>64</v>
      </c>
      <c r="N203" s="185" t="s">
        <v>514</v>
      </c>
      <c r="O203" s="185" t="s">
        <v>513</v>
      </c>
      <c r="P203" s="185" t="s">
        <v>514</v>
      </c>
      <c r="Q203" s="185" t="s">
        <v>513</v>
      </c>
      <c r="R203" s="185" t="s">
        <v>514</v>
      </c>
      <c r="S203" s="185" t="s">
        <v>513</v>
      </c>
      <c r="T203" s="185" t="s">
        <v>514</v>
      </c>
      <c r="U203" s="185" t="s">
        <v>513</v>
      </c>
    </row>
    <row r="204" spans="1:21" ht="33.75">
      <c r="A204" s="316" t="s">
        <v>412</v>
      </c>
      <c r="B204" s="316"/>
      <c r="C204" s="316"/>
      <c r="D204" s="316"/>
      <c r="E204" s="316"/>
      <c r="F204" s="316"/>
      <c r="G204" s="316"/>
      <c r="H204" s="316"/>
      <c r="I204" s="316"/>
      <c r="J204" s="316"/>
      <c r="K204" s="316"/>
      <c r="L204" s="316"/>
      <c r="M204" s="316"/>
      <c r="N204" s="316"/>
      <c r="O204" s="316"/>
      <c r="P204" s="316"/>
      <c r="Q204" s="316"/>
      <c r="R204" s="316"/>
      <c r="S204" s="316"/>
      <c r="T204" s="316"/>
      <c r="U204" s="316"/>
    </row>
    <row r="205" spans="1:21" ht="173.25">
      <c r="A205" s="324" t="s">
        <v>199</v>
      </c>
      <c r="B205" s="324" t="s">
        <v>200</v>
      </c>
      <c r="C205" s="107" t="s">
        <v>413</v>
      </c>
      <c r="D205" s="38">
        <v>1.125E-2</v>
      </c>
      <c r="E205" s="25" t="s">
        <v>112</v>
      </c>
      <c r="F205" s="16">
        <v>150</v>
      </c>
      <c r="G205" s="60" t="s">
        <v>414</v>
      </c>
      <c r="H205" s="30">
        <v>43101</v>
      </c>
      <c r="I205" s="30">
        <v>43404</v>
      </c>
      <c r="J205" s="25">
        <v>0.3</v>
      </c>
      <c r="K205" s="25">
        <v>0.6</v>
      </c>
      <c r="L205" s="25">
        <v>0.9</v>
      </c>
      <c r="M205" s="25">
        <v>1</v>
      </c>
      <c r="N205" s="25">
        <v>0.81</v>
      </c>
      <c r="O205" s="102" t="s">
        <v>653</v>
      </c>
      <c r="P205" s="153">
        <f>96/150</f>
        <v>0.64</v>
      </c>
      <c r="Q205" s="81" t="s">
        <v>696</v>
      </c>
      <c r="R205" s="205">
        <v>1</v>
      </c>
      <c r="S205" s="206" t="s">
        <v>936</v>
      </c>
      <c r="T205" s="284">
        <v>1</v>
      </c>
      <c r="U205" s="262" t="s">
        <v>1015</v>
      </c>
    </row>
    <row r="206" spans="1:21" ht="60">
      <c r="A206" s="354"/>
      <c r="B206" s="354"/>
      <c r="C206" s="107" t="s">
        <v>415</v>
      </c>
      <c r="D206" s="38">
        <v>6.2500000000000003E-3</v>
      </c>
      <c r="E206" s="25" t="s">
        <v>112</v>
      </c>
      <c r="F206" s="16">
        <v>1</v>
      </c>
      <c r="G206" s="319" t="s">
        <v>416</v>
      </c>
      <c r="H206" s="385">
        <v>43101</v>
      </c>
      <c r="I206" s="385">
        <v>43220</v>
      </c>
      <c r="J206" s="25">
        <v>0.75</v>
      </c>
      <c r="K206" s="25">
        <v>1</v>
      </c>
      <c r="L206" s="25"/>
      <c r="M206" s="25"/>
      <c r="N206" s="25">
        <v>0.4</v>
      </c>
      <c r="O206" s="319" t="s">
        <v>654</v>
      </c>
      <c r="P206" s="154">
        <v>1</v>
      </c>
      <c r="Q206" s="377" t="s">
        <v>697</v>
      </c>
      <c r="R206" s="205">
        <v>0.8</v>
      </c>
      <c r="S206" s="329" t="s">
        <v>937</v>
      </c>
      <c r="T206" s="284">
        <v>1</v>
      </c>
      <c r="U206" s="262" t="s">
        <v>1016</v>
      </c>
    </row>
    <row r="207" spans="1:21" ht="89.25">
      <c r="A207" s="354"/>
      <c r="B207" s="354"/>
      <c r="C207" s="107" t="s">
        <v>417</v>
      </c>
      <c r="D207" s="38">
        <v>6.2500000000000003E-3</v>
      </c>
      <c r="E207" s="25" t="s">
        <v>112</v>
      </c>
      <c r="F207" s="16">
        <v>3</v>
      </c>
      <c r="G207" s="319"/>
      <c r="H207" s="385"/>
      <c r="I207" s="385"/>
      <c r="J207" s="25">
        <v>0.75</v>
      </c>
      <c r="K207" s="25">
        <v>1</v>
      </c>
      <c r="L207" s="25"/>
      <c r="M207" s="25"/>
      <c r="N207" s="25">
        <v>0.4</v>
      </c>
      <c r="O207" s="319" t="s">
        <v>655</v>
      </c>
      <c r="P207" s="154">
        <v>0.75</v>
      </c>
      <c r="Q207" s="378"/>
      <c r="R207" s="205">
        <v>0.8</v>
      </c>
      <c r="S207" s="330"/>
      <c r="T207" s="284">
        <v>1</v>
      </c>
      <c r="U207" s="262" t="s">
        <v>1017</v>
      </c>
    </row>
    <row r="208" spans="1:21" ht="126">
      <c r="A208" s="354"/>
      <c r="B208" s="354"/>
      <c r="C208" s="107" t="s">
        <v>418</v>
      </c>
      <c r="D208" s="38">
        <v>1.125E-2</v>
      </c>
      <c r="E208" s="25" t="s">
        <v>112</v>
      </c>
      <c r="F208" s="16">
        <v>3</v>
      </c>
      <c r="G208" s="60" t="s">
        <v>419</v>
      </c>
      <c r="H208" s="30">
        <v>43101</v>
      </c>
      <c r="I208" s="30">
        <v>43251</v>
      </c>
      <c r="J208" s="25">
        <v>0.6</v>
      </c>
      <c r="K208" s="25">
        <v>1</v>
      </c>
      <c r="L208" s="25"/>
      <c r="M208" s="25"/>
      <c r="N208" s="25">
        <v>0.2</v>
      </c>
      <c r="O208" s="102" t="s">
        <v>656</v>
      </c>
      <c r="P208" s="155">
        <v>0.33</v>
      </c>
      <c r="Q208" s="81" t="s">
        <v>698</v>
      </c>
      <c r="R208" s="207">
        <v>0.33</v>
      </c>
      <c r="S208" s="206" t="s">
        <v>938</v>
      </c>
      <c r="T208" s="284">
        <v>1</v>
      </c>
      <c r="U208" s="262" t="s">
        <v>1018</v>
      </c>
    </row>
    <row r="209" spans="1:21" ht="192">
      <c r="A209" s="354"/>
      <c r="B209" s="354"/>
      <c r="C209" s="107" t="s">
        <v>420</v>
      </c>
      <c r="D209" s="38">
        <v>1.125E-2</v>
      </c>
      <c r="E209" s="25" t="s">
        <v>112</v>
      </c>
      <c r="F209" s="16">
        <v>1</v>
      </c>
      <c r="G209" s="60" t="s">
        <v>421</v>
      </c>
      <c r="H209" s="30">
        <v>43101</v>
      </c>
      <c r="I209" s="30">
        <v>43434</v>
      </c>
      <c r="J209" s="25">
        <v>0.27</v>
      </c>
      <c r="K209" s="25">
        <v>0.54</v>
      </c>
      <c r="L209" s="25">
        <v>0.81</v>
      </c>
      <c r="M209" s="25">
        <v>1</v>
      </c>
      <c r="N209" s="25">
        <v>0</v>
      </c>
      <c r="O209" s="102" t="s">
        <v>657</v>
      </c>
      <c r="P209" s="77">
        <v>0.5</v>
      </c>
      <c r="Q209" s="162" t="s">
        <v>699</v>
      </c>
      <c r="R209" s="208">
        <v>0.8</v>
      </c>
      <c r="S209" s="209" t="s">
        <v>939</v>
      </c>
      <c r="T209" s="156">
        <v>1</v>
      </c>
      <c r="U209" s="262" t="s">
        <v>1019</v>
      </c>
    </row>
    <row r="210" spans="1:21" ht="135">
      <c r="A210" s="354"/>
      <c r="B210" s="354"/>
      <c r="C210" s="44" t="s">
        <v>422</v>
      </c>
      <c r="D210" s="38">
        <v>1.125E-2</v>
      </c>
      <c r="E210" s="25" t="s">
        <v>105</v>
      </c>
      <c r="F210" s="25">
        <v>0.9</v>
      </c>
      <c r="G210" s="60" t="s">
        <v>423</v>
      </c>
      <c r="H210" s="30">
        <v>43101</v>
      </c>
      <c r="I210" s="30">
        <v>43434</v>
      </c>
      <c r="J210" s="25">
        <v>0.27</v>
      </c>
      <c r="K210" s="25">
        <v>0.54</v>
      </c>
      <c r="L210" s="25">
        <v>0.81</v>
      </c>
      <c r="M210" s="25">
        <v>1</v>
      </c>
      <c r="N210" s="25">
        <v>0.15</v>
      </c>
      <c r="O210" s="102" t="s">
        <v>658</v>
      </c>
      <c r="P210" s="77">
        <v>0.4</v>
      </c>
      <c r="Q210" s="81" t="s">
        <v>700</v>
      </c>
      <c r="R210" s="208">
        <v>0.8</v>
      </c>
      <c r="S210" s="209" t="s">
        <v>940</v>
      </c>
      <c r="T210" s="156">
        <v>1</v>
      </c>
      <c r="U210" s="262" t="s">
        <v>1020</v>
      </c>
    </row>
    <row r="211" spans="1:21" ht="105">
      <c r="A211" s="354"/>
      <c r="B211" s="354"/>
      <c r="C211" s="44" t="s">
        <v>424</v>
      </c>
      <c r="D211" s="38">
        <v>1.125E-2</v>
      </c>
      <c r="E211" s="25" t="s">
        <v>112</v>
      </c>
      <c r="F211" s="16">
        <v>2</v>
      </c>
      <c r="G211" s="60" t="s">
        <v>425</v>
      </c>
      <c r="H211" s="30">
        <v>43101</v>
      </c>
      <c r="I211" s="30">
        <v>43434</v>
      </c>
      <c r="J211" s="25">
        <v>0.27</v>
      </c>
      <c r="K211" s="25">
        <v>0.54</v>
      </c>
      <c r="L211" s="25">
        <v>0.81</v>
      </c>
      <c r="M211" s="25">
        <v>1</v>
      </c>
      <c r="N211" s="25">
        <v>0.15</v>
      </c>
      <c r="O211" s="102" t="s">
        <v>659</v>
      </c>
      <c r="P211" s="77">
        <v>0.4</v>
      </c>
      <c r="Q211" s="81" t="s">
        <v>701</v>
      </c>
      <c r="R211" s="208">
        <v>0.8</v>
      </c>
      <c r="S211" s="209" t="s">
        <v>941</v>
      </c>
      <c r="T211" s="156">
        <v>0.8</v>
      </c>
      <c r="U211" s="262" t="s">
        <v>941</v>
      </c>
    </row>
    <row r="212" spans="1:21" ht="180">
      <c r="A212" s="354"/>
      <c r="B212" s="354"/>
      <c r="C212" s="44" t="s">
        <v>426</v>
      </c>
      <c r="D212" s="38">
        <v>1.125E-2</v>
      </c>
      <c r="E212" s="25" t="s">
        <v>112</v>
      </c>
      <c r="F212" s="16">
        <v>1</v>
      </c>
      <c r="G212" s="60" t="s">
        <v>427</v>
      </c>
      <c r="H212" s="30">
        <v>43101</v>
      </c>
      <c r="I212" s="30">
        <v>43434</v>
      </c>
      <c r="J212" s="25">
        <v>0.27</v>
      </c>
      <c r="K212" s="25">
        <v>0.54</v>
      </c>
      <c r="L212" s="25">
        <v>0.81</v>
      </c>
      <c r="M212" s="25">
        <v>1</v>
      </c>
      <c r="N212" s="25">
        <v>0.15</v>
      </c>
      <c r="O212" s="102" t="s">
        <v>660</v>
      </c>
      <c r="P212" s="77">
        <v>0.5</v>
      </c>
      <c r="Q212" s="81" t="s">
        <v>702</v>
      </c>
      <c r="R212" s="208">
        <v>0.8</v>
      </c>
      <c r="S212" s="209" t="s">
        <v>942</v>
      </c>
      <c r="T212" s="285" t="s">
        <v>1054</v>
      </c>
      <c r="U212" s="262" t="s">
        <v>1021</v>
      </c>
    </row>
    <row r="213" spans="1:21" ht="267.75">
      <c r="A213" s="354"/>
      <c r="B213" s="354"/>
      <c r="C213" s="107" t="s">
        <v>428</v>
      </c>
      <c r="D213" s="38">
        <v>1.125E-2</v>
      </c>
      <c r="E213" s="25" t="s">
        <v>112</v>
      </c>
      <c r="F213" s="16">
        <v>1</v>
      </c>
      <c r="G213" s="60" t="s">
        <v>429</v>
      </c>
      <c r="H213" s="30">
        <v>43101</v>
      </c>
      <c r="I213" s="30">
        <v>43404</v>
      </c>
      <c r="J213" s="25">
        <v>0.3</v>
      </c>
      <c r="K213" s="25">
        <v>0.6</v>
      </c>
      <c r="L213" s="25">
        <v>0.9</v>
      </c>
      <c r="M213" s="25">
        <v>1</v>
      </c>
      <c r="N213" s="25">
        <v>0.15</v>
      </c>
      <c r="O213" s="102" t="s">
        <v>661</v>
      </c>
      <c r="P213" s="77">
        <v>0.4</v>
      </c>
      <c r="Q213" s="160" t="s">
        <v>703</v>
      </c>
      <c r="R213" s="210">
        <v>0.6</v>
      </c>
      <c r="S213" s="209" t="s">
        <v>943</v>
      </c>
      <c r="T213" s="285" t="s">
        <v>1054</v>
      </c>
      <c r="U213" s="262" t="s">
        <v>1022</v>
      </c>
    </row>
    <row r="214" spans="1:21" ht="120">
      <c r="A214" s="354"/>
      <c r="B214" s="354"/>
      <c r="C214" s="107" t="s">
        <v>430</v>
      </c>
      <c r="D214" s="38">
        <v>1.125E-2</v>
      </c>
      <c r="E214" s="25" t="s">
        <v>112</v>
      </c>
      <c r="F214" s="16">
        <v>1</v>
      </c>
      <c r="G214" s="60" t="s">
        <v>431</v>
      </c>
      <c r="H214" s="30">
        <v>43101</v>
      </c>
      <c r="I214" s="30">
        <v>43373</v>
      </c>
      <c r="J214" s="25">
        <v>0.33</v>
      </c>
      <c r="K214" s="25">
        <v>0.66</v>
      </c>
      <c r="L214" s="25">
        <v>1</v>
      </c>
      <c r="M214" s="25"/>
      <c r="N214" s="25">
        <v>0</v>
      </c>
      <c r="O214" s="102" t="s">
        <v>662</v>
      </c>
      <c r="P214" s="77">
        <v>0.33</v>
      </c>
      <c r="Q214" s="160" t="s">
        <v>704</v>
      </c>
      <c r="R214" s="208">
        <v>0.3</v>
      </c>
      <c r="S214" s="209" t="s">
        <v>944</v>
      </c>
      <c r="T214" s="285" t="s">
        <v>1054</v>
      </c>
      <c r="U214" s="262" t="s">
        <v>1023</v>
      </c>
    </row>
    <row r="215" spans="1:21" ht="345">
      <c r="A215" s="354"/>
      <c r="B215" s="354"/>
      <c r="C215" s="107" t="s">
        <v>432</v>
      </c>
      <c r="D215" s="38">
        <v>1.125E-2</v>
      </c>
      <c r="E215" s="25" t="s">
        <v>105</v>
      </c>
      <c r="F215" s="25">
        <v>0.9</v>
      </c>
      <c r="G215" s="60" t="s">
        <v>433</v>
      </c>
      <c r="H215" s="30">
        <v>43101</v>
      </c>
      <c r="I215" s="30">
        <v>43434</v>
      </c>
      <c r="J215" s="25">
        <v>0.27</v>
      </c>
      <c r="K215" s="25">
        <v>0.54</v>
      </c>
      <c r="L215" s="25">
        <v>0.81</v>
      </c>
      <c r="M215" s="25">
        <v>1</v>
      </c>
      <c r="N215" s="25">
        <v>0.15</v>
      </c>
      <c r="O215" s="102" t="s">
        <v>663</v>
      </c>
      <c r="P215" s="156">
        <v>0.2</v>
      </c>
      <c r="Q215" s="81" t="s">
        <v>705</v>
      </c>
      <c r="R215" s="208">
        <v>0.25</v>
      </c>
      <c r="S215" s="209" t="s">
        <v>945</v>
      </c>
      <c r="T215" s="286">
        <v>0.5</v>
      </c>
      <c r="U215" s="262" t="s">
        <v>1024</v>
      </c>
    </row>
    <row r="216" spans="1:21" ht="409.5">
      <c r="A216" s="354"/>
      <c r="B216" s="354"/>
      <c r="C216" s="107" t="s">
        <v>434</v>
      </c>
      <c r="D216" s="38">
        <v>1.125E-2</v>
      </c>
      <c r="E216" s="25" t="s">
        <v>105</v>
      </c>
      <c r="F216" s="25">
        <v>1</v>
      </c>
      <c r="G216" s="60" t="s">
        <v>435</v>
      </c>
      <c r="H216" s="30">
        <v>43101</v>
      </c>
      <c r="I216" s="30">
        <v>43465</v>
      </c>
      <c r="J216" s="25">
        <v>0.24</v>
      </c>
      <c r="K216" s="25">
        <v>0.48</v>
      </c>
      <c r="L216" s="25">
        <v>0.72</v>
      </c>
      <c r="M216" s="25">
        <v>1</v>
      </c>
      <c r="N216" s="25">
        <v>0.24</v>
      </c>
      <c r="O216" s="102" t="s">
        <v>664</v>
      </c>
      <c r="P216" s="156">
        <v>0.48</v>
      </c>
      <c r="Q216" s="81" t="s">
        <v>706</v>
      </c>
      <c r="R216" s="211">
        <v>0.9</v>
      </c>
      <c r="S216" s="206" t="s">
        <v>946</v>
      </c>
      <c r="T216" s="287">
        <v>1</v>
      </c>
      <c r="U216" s="263" t="s">
        <v>1025</v>
      </c>
    </row>
    <row r="217" spans="1:21" ht="405">
      <c r="A217" s="354"/>
      <c r="B217" s="354"/>
      <c r="C217" s="107" t="s">
        <v>436</v>
      </c>
      <c r="D217" s="38">
        <v>3.125E-2</v>
      </c>
      <c r="E217" s="25" t="s">
        <v>105</v>
      </c>
      <c r="F217" s="25">
        <v>1</v>
      </c>
      <c r="G217" s="60" t="s">
        <v>437</v>
      </c>
      <c r="H217" s="30">
        <v>43101</v>
      </c>
      <c r="I217" s="30">
        <v>43465</v>
      </c>
      <c r="J217" s="25">
        <v>0.24</v>
      </c>
      <c r="K217" s="25">
        <v>0.48</v>
      </c>
      <c r="L217" s="25">
        <v>0.72</v>
      </c>
      <c r="M217" s="25">
        <v>1</v>
      </c>
      <c r="N217" s="25">
        <v>0.15</v>
      </c>
      <c r="O217" s="102" t="s">
        <v>665</v>
      </c>
      <c r="P217" s="157">
        <v>0.48</v>
      </c>
      <c r="Q217" s="81" t="s">
        <v>707</v>
      </c>
      <c r="R217" s="211">
        <v>0.92</v>
      </c>
      <c r="S217" s="206" t="s">
        <v>947</v>
      </c>
      <c r="T217" s="287">
        <v>1</v>
      </c>
      <c r="U217" s="263" t="s">
        <v>1026</v>
      </c>
    </row>
    <row r="218" spans="1:21" ht="255">
      <c r="A218" s="354"/>
      <c r="B218" s="354"/>
      <c r="C218" s="107" t="s">
        <v>438</v>
      </c>
      <c r="D218" s="38">
        <v>3.125E-2</v>
      </c>
      <c r="E218" s="25" t="s">
        <v>105</v>
      </c>
      <c r="F218" s="25">
        <v>1</v>
      </c>
      <c r="G218" s="60" t="s">
        <v>439</v>
      </c>
      <c r="H218" s="30">
        <v>43101</v>
      </c>
      <c r="I218" s="30">
        <v>43465</v>
      </c>
      <c r="J218" s="25">
        <v>0.24</v>
      </c>
      <c r="K218" s="25">
        <v>0.48</v>
      </c>
      <c r="L218" s="25">
        <v>0.72</v>
      </c>
      <c r="M218" s="25">
        <v>1</v>
      </c>
      <c r="N218" s="25">
        <v>0.02</v>
      </c>
      <c r="O218" s="102" t="s">
        <v>666</v>
      </c>
      <c r="P218" s="77">
        <v>0.5</v>
      </c>
      <c r="Q218" s="81" t="s">
        <v>708</v>
      </c>
      <c r="R218" s="211">
        <v>0.8</v>
      </c>
      <c r="S218" s="206" t="s">
        <v>948</v>
      </c>
      <c r="T218" s="287">
        <v>1</v>
      </c>
      <c r="U218" s="264" t="s">
        <v>1027</v>
      </c>
    </row>
    <row r="219" spans="1:21" ht="189">
      <c r="A219" s="354"/>
      <c r="B219" s="354"/>
      <c r="C219" s="107" t="s">
        <v>440</v>
      </c>
      <c r="D219" s="38">
        <v>3.125E-2</v>
      </c>
      <c r="E219" s="25" t="s">
        <v>105</v>
      </c>
      <c r="F219" s="25">
        <v>0.9</v>
      </c>
      <c r="G219" s="60" t="s">
        <v>441</v>
      </c>
      <c r="H219" s="30">
        <v>43101</v>
      </c>
      <c r="I219" s="30">
        <v>43465</v>
      </c>
      <c r="J219" s="25">
        <v>0.24</v>
      </c>
      <c r="K219" s="25">
        <v>0.48</v>
      </c>
      <c r="L219" s="25">
        <v>0.72</v>
      </c>
      <c r="M219" s="25">
        <v>1</v>
      </c>
      <c r="N219" s="25">
        <v>0.24</v>
      </c>
      <c r="O219" s="102" t="s">
        <v>667</v>
      </c>
      <c r="P219" s="77">
        <v>0.1</v>
      </c>
      <c r="Q219" s="81" t="s">
        <v>666</v>
      </c>
      <c r="R219" s="211">
        <v>0.8</v>
      </c>
      <c r="S219" s="206" t="s">
        <v>949</v>
      </c>
      <c r="T219" s="287">
        <v>1</v>
      </c>
      <c r="U219" s="263" t="s">
        <v>1028</v>
      </c>
    </row>
    <row r="220" spans="1:21" ht="180">
      <c r="A220" s="354"/>
      <c r="B220" s="354"/>
      <c r="C220" s="107" t="s">
        <v>442</v>
      </c>
      <c r="D220" s="38">
        <v>3.125E-2</v>
      </c>
      <c r="E220" s="25" t="s">
        <v>105</v>
      </c>
      <c r="F220" s="25">
        <v>0.9</v>
      </c>
      <c r="G220" s="60" t="s">
        <v>443</v>
      </c>
      <c r="H220" s="30">
        <v>43101</v>
      </c>
      <c r="I220" s="30">
        <v>43465</v>
      </c>
      <c r="J220" s="25">
        <v>0.24</v>
      </c>
      <c r="K220" s="25">
        <v>0.48</v>
      </c>
      <c r="L220" s="25">
        <v>0.72</v>
      </c>
      <c r="M220" s="25">
        <v>1</v>
      </c>
      <c r="N220" s="25">
        <v>0.24</v>
      </c>
      <c r="O220" s="102" t="s">
        <v>668</v>
      </c>
      <c r="P220" s="77">
        <v>0.48</v>
      </c>
      <c r="Q220" s="81" t="s">
        <v>709</v>
      </c>
      <c r="R220" s="208">
        <v>0.8</v>
      </c>
      <c r="S220" s="206" t="s">
        <v>950</v>
      </c>
      <c r="T220" s="287">
        <v>1</v>
      </c>
      <c r="U220" s="263" t="s">
        <v>1029</v>
      </c>
    </row>
    <row r="221" spans="1:21" ht="108">
      <c r="A221" s="354"/>
      <c r="B221" s="354"/>
      <c r="C221" s="107" t="s">
        <v>444</v>
      </c>
      <c r="D221" s="38">
        <v>2.5000000000000001E-2</v>
      </c>
      <c r="E221" s="25" t="s">
        <v>105</v>
      </c>
      <c r="F221" s="25">
        <v>0.7</v>
      </c>
      <c r="G221" s="60" t="s">
        <v>445</v>
      </c>
      <c r="H221" s="30">
        <v>43101</v>
      </c>
      <c r="I221" s="30">
        <v>43434</v>
      </c>
      <c r="J221" s="25">
        <v>0.27</v>
      </c>
      <c r="K221" s="25">
        <v>0.54</v>
      </c>
      <c r="L221" s="25">
        <v>0.81</v>
      </c>
      <c r="M221" s="25">
        <v>1</v>
      </c>
      <c r="N221" s="25">
        <v>0</v>
      </c>
      <c r="O221" s="102" t="s">
        <v>662</v>
      </c>
      <c r="P221" s="43">
        <v>0.27</v>
      </c>
      <c r="Q221" s="81" t="s">
        <v>710</v>
      </c>
      <c r="R221" s="207">
        <v>0.4</v>
      </c>
      <c r="S221" s="206" t="s">
        <v>951</v>
      </c>
      <c r="T221" s="156">
        <v>1</v>
      </c>
      <c r="U221" s="264" t="s">
        <v>1030</v>
      </c>
    </row>
    <row r="222" spans="1:21" ht="168">
      <c r="A222" s="354"/>
      <c r="B222" s="354"/>
      <c r="C222" s="107" t="s">
        <v>446</v>
      </c>
      <c r="D222" s="38">
        <v>1.2500000000000001E-2</v>
      </c>
      <c r="E222" s="25" t="s">
        <v>112</v>
      </c>
      <c r="F222" s="16">
        <v>1</v>
      </c>
      <c r="G222" s="60" t="s">
        <v>447</v>
      </c>
      <c r="H222" s="30">
        <v>43101</v>
      </c>
      <c r="I222" s="30">
        <v>43434</v>
      </c>
      <c r="J222" s="25">
        <v>0.27</v>
      </c>
      <c r="K222" s="25">
        <v>0.54</v>
      </c>
      <c r="L222" s="25">
        <v>0.81</v>
      </c>
      <c r="M222" s="25">
        <v>1</v>
      </c>
      <c r="N222" s="25">
        <v>0</v>
      </c>
      <c r="O222" s="102" t="s">
        <v>662</v>
      </c>
      <c r="P222" s="124">
        <v>0</v>
      </c>
      <c r="Q222" s="160" t="s">
        <v>662</v>
      </c>
      <c r="R222" s="207">
        <v>0.5</v>
      </c>
      <c r="S222" s="212" t="s">
        <v>952</v>
      </c>
      <c r="T222" s="288">
        <v>1</v>
      </c>
      <c r="U222" s="264" t="s">
        <v>1031</v>
      </c>
    </row>
    <row r="223" spans="1:21" ht="189">
      <c r="A223" s="354"/>
      <c r="B223" s="354"/>
      <c r="C223" s="107" t="s">
        <v>448</v>
      </c>
      <c r="D223" s="38">
        <v>2.5000000000000001E-2</v>
      </c>
      <c r="E223" s="25" t="s">
        <v>112</v>
      </c>
      <c r="F223" s="16">
        <v>1</v>
      </c>
      <c r="G223" s="60" t="s">
        <v>449</v>
      </c>
      <c r="H223" s="30">
        <v>43101</v>
      </c>
      <c r="I223" s="30">
        <v>43434</v>
      </c>
      <c r="J223" s="25">
        <v>0.27</v>
      </c>
      <c r="K223" s="25">
        <v>0.54</v>
      </c>
      <c r="L223" s="25">
        <v>0.81</v>
      </c>
      <c r="M223" s="25">
        <v>1</v>
      </c>
      <c r="N223" s="25">
        <v>0.27</v>
      </c>
      <c r="O223" s="102" t="s">
        <v>669</v>
      </c>
      <c r="P223" s="43">
        <v>0.54</v>
      </c>
      <c r="Q223" s="81" t="s">
        <v>711</v>
      </c>
      <c r="R223" s="207">
        <v>0.5</v>
      </c>
      <c r="S223" s="206" t="s">
        <v>953</v>
      </c>
      <c r="T223" s="288">
        <v>1</v>
      </c>
      <c r="U223" s="265" t="s">
        <v>1032</v>
      </c>
    </row>
    <row r="224" spans="1:21" ht="96">
      <c r="A224" s="354"/>
      <c r="B224" s="354"/>
      <c r="C224" s="107" t="s">
        <v>450</v>
      </c>
      <c r="D224" s="38">
        <v>1.2500000000000001E-2</v>
      </c>
      <c r="E224" s="25" t="s">
        <v>112</v>
      </c>
      <c r="F224" s="16">
        <v>1</v>
      </c>
      <c r="G224" s="60" t="s">
        <v>451</v>
      </c>
      <c r="H224" s="30">
        <v>43101</v>
      </c>
      <c r="I224" s="30">
        <v>43434</v>
      </c>
      <c r="J224" s="25">
        <v>0.27</v>
      </c>
      <c r="K224" s="25">
        <v>0.54</v>
      </c>
      <c r="L224" s="25">
        <v>0.81</v>
      </c>
      <c r="M224" s="25">
        <v>1</v>
      </c>
      <c r="N224" s="25">
        <v>0</v>
      </c>
      <c r="O224" s="102" t="s">
        <v>662</v>
      </c>
      <c r="P224" s="124">
        <v>0</v>
      </c>
      <c r="Q224" s="160" t="s">
        <v>662</v>
      </c>
      <c r="R224" s="213">
        <v>0.5</v>
      </c>
      <c r="S224" s="212" t="s">
        <v>954</v>
      </c>
      <c r="T224" s="286">
        <v>1</v>
      </c>
      <c r="U224" s="262" t="s">
        <v>1033</v>
      </c>
    </row>
    <row r="225" spans="1:21" ht="195">
      <c r="A225" s="354"/>
      <c r="B225" s="354"/>
      <c r="C225" s="107" t="s">
        <v>452</v>
      </c>
      <c r="D225" s="38">
        <v>2.5000000000000001E-2</v>
      </c>
      <c r="E225" s="25" t="s">
        <v>112</v>
      </c>
      <c r="F225" s="16">
        <v>2</v>
      </c>
      <c r="G225" s="60" t="s">
        <v>453</v>
      </c>
      <c r="H225" s="30">
        <v>43101</v>
      </c>
      <c r="I225" s="30">
        <v>43434</v>
      </c>
      <c r="J225" s="25">
        <v>0.27</v>
      </c>
      <c r="K225" s="25">
        <v>0.54</v>
      </c>
      <c r="L225" s="25">
        <v>0.81</v>
      </c>
      <c r="M225" s="25">
        <v>1</v>
      </c>
      <c r="N225" s="25">
        <v>0.15</v>
      </c>
      <c r="O225" s="102" t="s">
        <v>670</v>
      </c>
      <c r="P225" s="124">
        <v>0.5</v>
      </c>
      <c r="Q225" s="161" t="s">
        <v>712</v>
      </c>
      <c r="R225" s="213"/>
      <c r="S225" s="212" t="s">
        <v>955</v>
      </c>
      <c r="T225" s="289">
        <v>1</v>
      </c>
      <c r="U225" s="266" t="s">
        <v>1034</v>
      </c>
    </row>
    <row r="226" spans="1:21" ht="270">
      <c r="A226" s="354"/>
      <c r="B226" s="354"/>
      <c r="C226" s="107" t="s">
        <v>454</v>
      </c>
      <c r="D226" s="38">
        <v>1.2500000000000001E-2</v>
      </c>
      <c r="E226" s="25" t="s">
        <v>112</v>
      </c>
      <c r="F226" s="16">
        <v>2</v>
      </c>
      <c r="G226" s="60" t="s">
        <v>455</v>
      </c>
      <c r="H226" s="30">
        <v>43101</v>
      </c>
      <c r="I226" s="30">
        <v>43434</v>
      </c>
      <c r="J226" s="25">
        <v>0.27</v>
      </c>
      <c r="K226" s="25">
        <v>0.54</v>
      </c>
      <c r="L226" s="25">
        <v>0.81</v>
      </c>
      <c r="M226" s="25">
        <v>1</v>
      </c>
      <c r="N226" s="25">
        <v>0.15</v>
      </c>
      <c r="O226" s="102" t="s">
        <v>671</v>
      </c>
      <c r="P226" s="124">
        <v>1</v>
      </c>
      <c r="Q226" s="161" t="s">
        <v>713</v>
      </c>
      <c r="R226" s="214"/>
      <c r="S226" s="209" t="s">
        <v>956</v>
      </c>
      <c r="T226" s="289">
        <v>1</v>
      </c>
      <c r="U226" s="267" t="s">
        <v>1035</v>
      </c>
    </row>
    <row r="227" spans="1:21" ht="240">
      <c r="A227" s="354"/>
      <c r="B227" s="354"/>
      <c r="C227" s="107" t="s">
        <v>456</v>
      </c>
      <c r="D227" s="38">
        <v>1.2500000000000001E-2</v>
      </c>
      <c r="E227" s="25" t="s">
        <v>105</v>
      </c>
      <c r="F227" s="25">
        <v>1</v>
      </c>
      <c r="G227" s="60" t="s">
        <v>457</v>
      </c>
      <c r="H227" s="30">
        <v>43101</v>
      </c>
      <c r="I227" s="30">
        <v>43434</v>
      </c>
      <c r="J227" s="25">
        <v>0.27</v>
      </c>
      <c r="K227" s="25">
        <v>0.54</v>
      </c>
      <c r="L227" s="25">
        <v>0.81</v>
      </c>
      <c r="M227" s="25">
        <v>1</v>
      </c>
      <c r="N227" s="25">
        <v>0.15</v>
      </c>
      <c r="O227" s="102" t="s">
        <v>672</v>
      </c>
      <c r="P227" s="124">
        <v>0.5</v>
      </c>
      <c r="Q227" s="161" t="s">
        <v>672</v>
      </c>
      <c r="R227" s="214"/>
      <c r="S227" s="209" t="s">
        <v>957</v>
      </c>
      <c r="T227" s="289">
        <v>1</v>
      </c>
      <c r="U227" s="267" t="s">
        <v>1036</v>
      </c>
    </row>
    <row r="228" spans="1:21" ht="60">
      <c r="A228" s="354"/>
      <c r="B228" s="354"/>
      <c r="C228" s="107" t="s">
        <v>458</v>
      </c>
      <c r="D228" s="38">
        <v>0.01</v>
      </c>
      <c r="E228" s="25" t="s">
        <v>105</v>
      </c>
      <c r="F228" s="25">
        <v>1</v>
      </c>
      <c r="G228" s="60" t="s">
        <v>459</v>
      </c>
      <c r="H228" s="30">
        <v>43101</v>
      </c>
      <c r="I228" s="30">
        <v>43434</v>
      </c>
      <c r="J228" s="25">
        <v>0.27</v>
      </c>
      <c r="K228" s="25">
        <v>0.54</v>
      </c>
      <c r="L228" s="25">
        <v>0.81</v>
      </c>
      <c r="M228" s="25">
        <v>1</v>
      </c>
      <c r="N228" s="25">
        <v>1</v>
      </c>
      <c r="O228" s="102" t="s">
        <v>673</v>
      </c>
      <c r="P228" s="124">
        <v>1</v>
      </c>
      <c r="Q228" s="160" t="s">
        <v>673</v>
      </c>
      <c r="R228" s="210">
        <v>1</v>
      </c>
      <c r="S228" s="209" t="s">
        <v>673</v>
      </c>
      <c r="T228" s="289">
        <v>1</v>
      </c>
      <c r="U228" s="262" t="s">
        <v>1037</v>
      </c>
    </row>
    <row r="229" spans="1:21" ht="110.25">
      <c r="A229" s="354"/>
      <c r="B229" s="354"/>
      <c r="C229" s="107" t="s">
        <v>460</v>
      </c>
      <c r="D229" s="38">
        <v>0.01</v>
      </c>
      <c r="E229" s="25" t="s">
        <v>105</v>
      </c>
      <c r="F229" s="25">
        <v>0.9</v>
      </c>
      <c r="G229" s="60" t="s">
        <v>461</v>
      </c>
      <c r="H229" s="30">
        <v>43101</v>
      </c>
      <c r="I229" s="30">
        <v>43190</v>
      </c>
      <c r="J229" s="25">
        <v>1</v>
      </c>
      <c r="K229" s="25"/>
      <c r="L229" s="25"/>
      <c r="M229" s="25"/>
      <c r="N229" s="25">
        <v>0.3</v>
      </c>
      <c r="O229" s="102" t="s">
        <v>674</v>
      </c>
      <c r="P229" s="124">
        <v>0.5</v>
      </c>
      <c r="Q229" s="160" t="s">
        <v>714</v>
      </c>
      <c r="R229" s="215">
        <v>0.5</v>
      </c>
      <c r="S229" s="209" t="s">
        <v>958</v>
      </c>
      <c r="T229" s="289">
        <v>1</v>
      </c>
      <c r="U229" s="262" t="s">
        <v>1038</v>
      </c>
    </row>
    <row r="230" spans="1:21" ht="135">
      <c r="A230" s="354"/>
      <c r="B230" s="354"/>
      <c r="C230" s="107" t="s">
        <v>462</v>
      </c>
      <c r="D230" s="38">
        <v>8.7500000000000008E-3</v>
      </c>
      <c r="E230" s="25" t="s">
        <v>105</v>
      </c>
      <c r="F230" s="25">
        <v>0.9</v>
      </c>
      <c r="G230" s="60" t="s">
        <v>463</v>
      </c>
      <c r="H230" s="30">
        <v>43101</v>
      </c>
      <c r="I230" s="30">
        <v>43434</v>
      </c>
      <c r="J230" s="25">
        <v>0.27</v>
      </c>
      <c r="K230" s="25">
        <v>0.54</v>
      </c>
      <c r="L230" s="25">
        <v>0.81</v>
      </c>
      <c r="M230" s="25">
        <v>1</v>
      </c>
      <c r="N230" s="25">
        <v>0</v>
      </c>
      <c r="O230" s="102" t="s">
        <v>662</v>
      </c>
      <c r="P230" s="124">
        <v>0</v>
      </c>
      <c r="Q230" s="160" t="s">
        <v>662</v>
      </c>
      <c r="R230" s="215">
        <v>0.3</v>
      </c>
      <c r="S230" s="209" t="s">
        <v>959</v>
      </c>
      <c r="T230" s="289">
        <v>1</v>
      </c>
      <c r="U230" s="267" t="s">
        <v>1039</v>
      </c>
    </row>
    <row r="231" spans="1:21" ht="63">
      <c r="A231" s="354"/>
      <c r="B231" s="354"/>
      <c r="C231" s="107" t="s">
        <v>464</v>
      </c>
      <c r="D231" s="38">
        <v>8.7500000000000008E-3</v>
      </c>
      <c r="E231" s="25" t="s">
        <v>105</v>
      </c>
      <c r="F231" s="25">
        <v>0.9</v>
      </c>
      <c r="G231" s="60" t="s">
        <v>465</v>
      </c>
      <c r="H231" s="30">
        <v>43101</v>
      </c>
      <c r="I231" s="30">
        <v>43434</v>
      </c>
      <c r="J231" s="25">
        <v>0.27</v>
      </c>
      <c r="K231" s="25">
        <v>0.54</v>
      </c>
      <c r="L231" s="25">
        <v>0.81</v>
      </c>
      <c r="M231" s="25">
        <v>1</v>
      </c>
      <c r="N231" s="25">
        <v>1</v>
      </c>
      <c r="O231" s="102" t="s">
        <v>675</v>
      </c>
      <c r="P231" s="124">
        <v>1</v>
      </c>
      <c r="Q231" s="160" t="s">
        <v>675</v>
      </c>
      <c r="R231" s="210">
        <v>1</v>
      </c>
      <c r="S231" s="209" t="s">
        <v>960</v>
      </c>
      <c r="T231" s="289">
        <v>1</v>
      </c>
      <c r="U231" s="262" t="s">
        <v>1040</v>
      </c>
    </row>
    <row r="232" spans="1:21" ht="90">
      <c r="A232" s="354"/>
      <c r="B232" s="354"/>
      <c r="C232" s="107" t="s">
        <v>466</v>
      </c>
      <c r="D232" s="38">
        <v>0.01</v>
      </c>
      <c r="E232" s="25" t="s">
        <v>112</v>
      </c>
      <c r="F232" s="16">
        <v>25</v>
      </c>
      <c r="G232" s="60" t="s">
        <v>467</v>
      </c>
      <c r="H232" s="30">
        <v>43101</v>
      </c>
      <c r="I232" s="30">
        <v>43434</v>
      </c>
      <c r="J232" s="25">
        <v>0.27</v>
      </c>
      <c r="K232" s="25">
        <v>0.54</v>
      </c>
      <c r="L232" s="25">
        <v>0.81</v>
      </c>
      <c r="M232" s="25">
        <v>1</v>
      </c>
      <c r="N232" s="25">
        <v>0.1</v>
      </c>
      <c r="O232" s="102" t="s">
        <v>676</v>
      </c>
      <c r="P232" s="124">
        <v>0.4</v>
      </c>
      <c r="Q232" s="160" t="s">
        <v>715</v>
      </c>
      <c r="R232" s="215">
        <v>0.5</v>
      </c>
      <c r="S232" s="209" t="s">
        <v>961</v>
      </c>
      <c r="T232" s="289">
        <v>1</v>
      </c>
      <c r="U232" s="267" t="s">
        <v>961</v>
      </c>
    </row>
    <row r="233" spans="1:21" ht="105">
      <c r="A233" s="354"/>
      <c r="B233" s="354"/>
      <c r="C233" s="107" t="s">
        <v>468</v>
      </c>
      <c r="D233" s="38">
        <v>0.01</v>
      </c>
      <c r="E233" s="25" t="s">
        <v>112</v>
      </c>
      <c r="F233" s="16">
        <v>50</v>
      </c>
      <c r="G233" s="60" t="s">
        <v>469</v>
      </c>
      <c r="H233" s="30">
        <v>43101</v>
      </c>
      <c r="I233" s="30">
        <v>43434</v>
      </c>
      <c r="J233" s="25">
        <v>0.27</v>
      </c>
      <c r="K233" s="25">
        <v>0.54</v>
      </c>
      <c r="L233" s="25">
        <v>0.81</v>
      </c>
      <c r="M233" s="25">
        <v>1</v>
      </c>
      <c r="N233" s="25">
        <v>0</v>
      </c>
      <c r="O233" s="102" t="s">
        <v>662</v>
      </c>
      <c r="P233" s="124">
        <v>0</v>
      </c>
      <c r="Q233" s="160" t="s">
        <v>662</v>
      </c>
      <c r="R233" s="215">
        <v>0.3</v>
      </c>
      <c r="S233" s="209" t="s">
        <v>962</v>
      </c>
      <c r="T233" s="289">
        <v>1</v>
      </c>
      <c r="U233" s="262" t="s">
        <v>1041</v>
      </c>
    </row>
    <row r="234" spans="1:21" ht="165">
      <c r="A234" s="354"/>
      <c r="B234" s="354"/>
      <c r="C234" s="107" t="s">
        <v>470</v>
      </c>
      <c r="D234" s="38">
        <v>0.01</v>
      </c>
      <c r="E234" s="25" t="s">
        <v>112</v>
      </c>
      <c r="F234" s="16">
        <v>3</v>
      </c>
      <c r="G234" s="60" t="s">
        <v>471</v>
      </c>
      <c r="H234" s="30">
        <v>43101</v>
      </c>
      <c r="I234" s="30">
        <v>43434</v>
      </c>
      <c r="J234" s="25">
        <v>0.27</v>
      </c>
      <c r="K234" s="25">
        <v>0.54</v>
      </c>
      <c r="L234" s="25">
        <v>0.81</v>
      </c>
      <c r="M234" s="25">
        <v>1</v>
      </c>
      <c r="N234" s="25">
        <v>1</v>
      </c>
      <c r="O234" s="102" t="s">
        <v>677</v>
      </c>
      <c r="P234" s="124">
        <v>1</v>
      </c>
      <c r="Q234" s="160" t="s">
        <v>677</v>
      </c>
      <c r="R234" s="210">
        <v>1</v>
      </c>
      <c r="S234" s="209" t="s">
        <v>961</v>
      </c>
      <c r="T234" s="289">
        <v>1</v>
      </c>
      <c r="U234" s="267" t="s">
        <v>961</v>
      </c>
    </row>
    <row r="235" spans="1:21" ht="132">
      <c r="A235" s="354"/>
      <c r="B235" s="354"/>
      <c r="C235" s="107" t="s">
        <v>472</v>
      </c>
      <c r="D235" s="38">
        <v>0.01</v>
      </c>
      <c r="E235" s="25" t="s">
        <v>105</v>
      </c>
      <c r="F235" s="25">
        <v>1</v>
      </c>
      <c r="G235" s="60" t="s">
        <v>473</v>
      </c>
      <c r="H235" s="30">
        <v>43101</v>
      </c>
      <c r="I235" s="30">
        <v>43434</v>
      </c>
      <c r="J235" s="25">
        <v>0.27</v>
      </c>
      <c r="K235" s="25">
        <v>0.54</v>
      </c>
      <c r="L235" s="25">
        <v>0.81</v>
      </c>
      <c r="M235" s="25">
        <v>1</v>
      </c>
      <c r="N235" s="25">
        <v>0.1</v>
      </c>
      <c r="O235" s="102" t="s">
        <v>676</v>
      </c>
      <c r="P235" s="124">
        <v>0.4</v>
      </c>
      <c r="Q235" s="160" t="s">
        <v>715</v>
      </c>
      <c r="R235" s="210">
        <v>1</v>
      </c>
      <c r="S235" s="209" t="s">
        <v>677</v>
      </c>
      <c r="T235" s="289">
        <v>1</v>
      </c>
      <c r="U235" s="267" t="s">
        <v>677</v>
      </c>
    </row>
    <row r="236" spans="1:21" ht="78.75">
      <c r="A236" s="354"/>
      <c r="B236" s="354"/>
      <c r="C236" s="107" t="s">
        <v>474</v>
      </c>
      <c r="D236" s="38">
        <v>7.4999999999999997E-3</v>
      </c>
      <c r="E236" s="25" t="s">
        <v>112</v>
      </c>
      <c r="F236" s="16">
        <v>3</v>
      </c>
      <c r="G236" s="60" t="s">
        <v>475</v>
      </c>
      <c r="H236" s="30">
        <v>43101</v>
      </c>
      <c r="I236" s="30">
        <v>43434</v>
      </c>
      <c r="J236" s="25">
        <v>0.27</v>
      </c>
      <c r="K236" s="25">
        <v>0.54</v>
      </c>
      <c r="L236" s="25">
        <v>0.81</v>
      </c>
      <c r="M236" s="25">
        <v>1</v>
      </c>
      <c r="N236" s="25">
        <v>0.4</v>
      </c>
      <c r="O236" s="102" t="s">
        <v>678</v>
      </c>
      <c r="P236" s="158">
        <v>0.6</v>
      </c>
      <c r="Q236" s="160" t="s">
        <v>716</v>
      </c>
      <c r="R236" s="215">
        <v>0.8</v>
      </c>
      <c r="S236" s="209" t="s">
        <v>963</v>
      </c>
      <c r="T236" s="289">
        <v>1</v>
      </c>
      <c r="U236" s="267" t="s">
        <v>1042</v>
      </c>
    </row>
    <row r="237" spans="1:21" ht="75">
      <c r="A237" s="354"/>
      <c r="B237" s="354"/>
      <c r="C237" s="107" t="s">
        <v>476</v>
      </c>
      <c r="D237" s="38">
        <v>0.01</v>
      </c>
      <c r="E237" s="25" t="s">
        <v>105</v>
      </c>
      <c r="F237" s="25">
        <v>1</v>
      </c>
      <c r="G237" s="60" t="s">
        <v>477</v>
      </c>
      <c r="H237" s="30">
        <v>43101</v>
      </c>
      <c r="I237" s="30">
        <v>43434</v>
      </c>
      <c r="J237" s="25">
        <v>0.27</v>
      </c>
      <c r="K237" s="25">
        <v>0.54</v>
      </c>
      <c r="L237" s="25">
        <v>0.81</v>
      </c>
      <c r="M237" s="25">
        <v>1</v>
      </c>
      <c r="N237" s="25">
        <v>1</v>
      </c>
      <c r="O237" s="102" t="s">
        <v>679</v>
      </c>
      <c r="P237" s="124">
        <v>1</v>
      </c>
      <c r="Q237" s="160" t="s">
        <v>679</v>
      </c>
      <c r="R237" s="210">
        <v>1</v>
      </c>
      <c r="S237" s="209" t="s">
        <v>964</v>
      </c>
      <c r="T237" s="289">
        <v>1</v>
      </c>
      <c r="U237" s="262" t="s">
        <v>1043</v>
      </c>
    </row>
    <row r="238" spans="1:21" ht="75">
      <c r="A238" s="354"/>
      <c r="B238" s="354"/>
      <c r="C238" s="107" t="s">
        <v>478</v>
      </c>
      <c r="D238" s="38">
        <v>0.01</v>
      </c>
      <c r="E238" s="25" t="s">
        <v>112</v>
      </c>
      <c r="F238" s="26">
        <v>3500</v>
      </c>
      <c r="G238" s="60" t="s">
        <v>479</v>
      </c>
      <c r="H238" s="30">
        <v>43101</v>
      </c>
      <c r="I238" s="30">
        <v>43434</v>
      </c>
      <c r="J238" s="25">
        <v>0.27</v>
      </c>
      <c r="K238" s="25">
        <v>0.54</v>
      </c>
      <c r="L238" s="25">
        <v>0.81</v>
      </c>
      <c r="M238" s="25">
        <v>1</v>
      </c>
      <c r="N238" s="25">
        <v>0.1</v>
      </c>
      <c r="O238" s="102" t="s">
        <v>680</v>
      </c>
      <c r="P238" s="159">
        <v>1</v>
      </c>
      <c r="Q238" s="160" t="s">
        <v>717</v>
      </c>
      <c r="R238" s="210">
        <v>1</v>
      </c>
      <c r="S238" s="209" t="s">
        <v>965</v>
      </c>
      <c r="T238" s="289">
        <v>1</v>
      </c>
      <c r="U238" s="262" t="s">
        <v>1044</v>
      </c>
    </row>
    <row r="239" spans="1:21" ht="120">
      <c r="A239" s="354"/>
      <c r="B239" s="354"/>
      <c r="C239" s="107" t="s">
        <v>480</v>
      </c>
      <c r="D239" s="38">
        <v>0.01</v>
      </c>
      <c r="E239" s="25" t="s">
        <v>112</v>
      </c>
      <c r="F239" s="16">
        <v>9</v>
      </c>
      <c r="G239" s="60" t="s">
        <v>481</v>
      </c>
      <c r="H239" s="30">
        <v>43101</v>
      </c>
      <c r="I239" s="30">
        <v>43434</v>
      </c>
      <c r="J239" s="25">
        <v>0.27</v>
      </c>
      <c r="K239" s="25">
        <v>0.54</v>
      </c>
      <c r="L239" s="25">
        <v>0.81</v>
      </c>
      <c r="M239" s="25">
        <v>1</v>
      </c>
      <c r="N239" s="25">
        <v>0</v>
      </c>
      <c r="O239" s="102" t="s">
        <v>681</v>
      </c>
      <c r="P239" s="124">
        <v>0</v>
      </c>
      <c r="Q239" s="160" t="s">
        <v>718</v>
      </c>
      <c r="R239" s="215">
        <v>0.5</v>
      </c>
      <c r="S239" s="209" t="s">
        <v>681</v>
      </c>
      <c r="T239" s="289">
        <v>1</v>
      </c>
      <c r="U239" s="267" t="s">
        <v>681</v>
      </c>
    </row>
    <row r="240" spans="1:21" ht="90">
      <c r="A240" s="354"/>
      <c r="B240" s="354"/>
      <c r="C240" s="107" t="s">
        <v>482</v>
      </c>
      <c r="D240" s="38">
        <v>0.01</v>
      </c>
      <c r="E240" s="25" t="s">
        <v>112</v>
      </c>
      <c r="F240" s="16">
        <v>2</v>
      </c>
      <c r="G240" s="60" t="s">
        <v>483</v>
      </c>
      <c r="H240" s="30">
        <v>43101</v>
      </c>
      <c r="I240" s="30">
        <v>43434</v>
      </c>
      <c r="J240" s="25">
        <v>0.27</v>
      </c>
      <c r="K240" s="25">
        <v>0.54</v>
      </c>
      <c r="L240" s="25">
        <v>0.81</v>
      </c>
      <c r="M240" s="25">
        <v>1</v>
      </c>
      <c r="N240" s="25">
        <v>0.1</v>
      </c>
      <c r="O240" s="102" t="s">
        <v>676</v>
      </c>
      <c r="P240" s="124">
        <v>0.4</v>
      </c>
      <c r="Q240" s="160" t="s">
        <v>715</v>
      </c>
      <c r="R240" s="215">
        <v>0.6</v>
      </c>
      <c r="S240" s="209" t="s">
        <v>966</v>
      </c>
      <c r="T240" s="289">
        <v>1</v>
      </c>
      <c r="U240" s="267" t="s">
        <v>966</v>
      </c>
    </row>
    <row r="241" spans="1:21">
      <c r="A241" s="76"/>
      <c r="B241" s="76"/>
      <c r="C241" s="76"/>
      <c r="D241" s="77">
        <f>SUM(D205:D240)</f>
        <v>0.50000000000000011</v>
      </c>
      <c r="E241" s="76"/>
      <c r="F241" s="59"/>
      <c r="G241" s="76"/>
      <c r="H241" s="76"/>
      <c r="I241" s="76"/>
      <c r="J241" s="76"/>
      <c r="K241" s="76"/>
      <c r="L241" s="76"/>
      <c r="M241" s="76"/>
      <c r="N241" s="72"/>
      <c r="O241" s="72"/>
      <c r="P241" s="72"/>
      <c r="Q241" s="72"/>
      <c r="R241" s="72"/>
      <c r="S241" s="72"/>
      <c r="T241" s="72"/>
      <c r="U241" s="72"/>
    </row>
    <row r="242" spans="1:21" ht="33.75">
      <c r="A242" s="316" t="s">
        <v>515</v>
      </c>
      <c r="B242" s="316"/>
      <c r="C242" s="316"/>
      <c r="D242" s="316"/>
      <c r="E242" s="316"/>
      <c r="F242" s="316"/>
      <c r="G242" s="316"/>
      <c r="H242" s="316"/>
      <c r="I242" s="316"/>
      <c r="J242" s="316"/>
      <c r="K242" s="316"/>
      <c r="L242" s="316"/>
      <c r="M242" s="316"/>
      <c r="N242" s="316"/>
      <c r="O242" s="316"/>
      <c r="P242" s="316"/>
      <c r="Q242" s="316"/>
      <c r="R242" s="316"/>
      <c r="S242" s="316"/>
      <c r="T242" s="316"/>
      <c r="U242" s="316"/>
    </row>
    <row r="243" spans="1:21" ht="18.75">
      <c r="A243" s="339" t="s">
        <v>103</v>
      </c>
      <c r="B243" s="339" t="s">
        <v>74</v>
      </c>
      <c r="C243" s="339" t="s">
        <v>65</v>
      </c>
      <c r="D243" s="339" t="s">
        <v>66</v>
      </c>
      <c r="E243" s="339" t="s">
        <v>67</v>
      </c>
      <c r="F243" s="340" t="s">
        <v>68</v>
      </c>
      <c r="G243" s="339" t="s">
        <v>69</v>
      </c>
      <c r="H243" s="341" t="s">
        <v>70</v>
      </c>
      <c r="I243" s="341"/>
      <c r="J243" s="341" t="s">
        <v>79</v>
      </c>
      <c r="K243" s="341"/>
      <c r="L243" s="341"/>
      <c r="M243" s="341"/>
      <c r="N243" s="331" t="s">
        <v>511</v>
      </c>
      <c r="O243" s="331"/>
      <c r="P243" s="331"/>
      <c r="Q243" s="331"/>
      <c r="R243" s="331"/>
      <c r="S243" s="331"/>
      <c r="T243" s="331"/>
      <c r="U243" s="331"/>
    </row>
    <row r="244" spans="1:21" ht="15.75">
      <c r="A244" s="339"/>
      <c r="B244" s="339"/>
      <c r="C244" s="339"/>
      <c r="D244" s="339"/>
      <c r="E244" s="339"/>
      <c r="F244" s="340"/>
      <c r="G244" s="339"/>
      <c r="H244" s="332" t="s">
        <v>71</v>
      </c>
      <c r="I244" s="332" t="s">
        <v>197</v>
      </c>
      <c r="J244" s="15" t="s">
        <v>75</v>
      </c>
      <c r="K244" s="15" t="s">
        <v>76</v>
      </c>
      <c r="L244" s="15" t="s">
        <v>77</v>
      </c>
      <c r="M244" s="15" t="s">
        <v>78</v>
      </c>
      <c r="N244" s="333" t="s">
        <v>75</v>
      </c>
      <c r="O244" s="333"/>
      <c r="P244" s="333" t="s">
        <v>76</v>
      </c>
      <c r="Q244" s="333"/>
      <c r="R244" s="333" t="s">
        <v>77</v>
      </c>
      <c r="S244" s="333"/>
      <c r="T244" s="333" t="s">
        <v>78</v>
      </c>
      <c r="U244" s="333"/>
    </row>
    <row r="245" spans="1:21" ht="31.5">
      <c r="A245" s="339"/>
      <c r="B245" s="339"/>
      <c r="C245" s="339"/>
      <c r="D245" s="339"/>
      <c r="E245" s="339"/>
      <c r="F245" s="340"/>
      <c r="G245" s="339"/>
      <c r="H245" s="332"/>
      <c r="I245" s="332"/>
      <c r="J245" s="101" t="s">
        <v>64</v>
      </c>
      <c r="K245" s="55" t="s">
        <v>64</v>
      </c>
      <c r="L245" s="55" t="s">
        <v>64</v>
      </c>
      <c r="M245" s="55" t="s">
        <v>64</v>
      </c>
      <c r="N245" s="185" t="s">
        <v>514</v>
      </c>
      <c r="O245" s="185" t="s">
        <v>513</v>
      </c>
      <c r="P245" s="185" t="s">
        <v>514</v>
      </c>
      <c r="Q245" s="185" t="s">
        <v>513</v>
      </c>
      <c r="R245" s="185" t="s">
        <v>514</v>
      </c>
      <c r="S245" s="185" t="s">
        <v>513</v>
      </c>
      <c r="T245" s="185" t="s">
        <v>514</v>
      </c>
      <c r="U245" s="185" t="s">
        <v>513</v>
      </c>
    </row>
    <row r="246" spans="1:21" s="73" customFormat="1" ht="33.75">
      <c r="A246" s="316" t="s">
        <v>484</v>
      </c>
      <c r="B246" s="316"/>
      <c r="C246" s="316"/>
      <c r="D246" s="316"/>
      <c r="E246" s="316"/>
      <c r="F246" s="316"/>
      <c r="G246" s="316"/>
      <c r="H246" s="316"/>
      <c r="I246" s="316"/>
      <c r="J246" s="316"/>
      <c r="K246" s="316"/>
      <c r="L246" s="316"/>
      <c r="M246" s="316"/>
      <c r="N246" s="316"/>
      <c r="O246" s="316"/>
      <c r="P246" s="316"/>
      <c r="Q246" s="316"/>
      <c r="R246" s="316"/>
      <c r="S246" s="316"/>
      <c r="T246" s="316"/>
      <c r="U246" s="316"/>
    </row>
    <row r="247" spans="1:21" ht="267.75">
      <c r="A247" s="39" t="s">
        <v>199</v>
      </c>
      <c r="B247" s="39" t="s">
        <v>200</v>
      </c>
      <c r="C247" s="60" t="s">
        <v>485</v>
      </c>
      <c r="D247" s="29">
        <v>0.5</v>
      </c>
      <c r="E247" s="60" t="s">
        <v>105</v>
      </c>
      <c r="F247" s="29">
        <v>1</v>
      </c>
      <c r="G247" s="60" t="s">
        <v>486</v>
      </c>
      <c r="H247" s="40">
        <v>43101</v>
      </c>
      <c r="I247" s="30">
        <v>43465</v>
      </c>
      <c r="J247" s="104">
        <v>0.15</v>
      </c>
      <c r="K247" s="65">
        <v>0.3</v>
      </c>
      <c r="L247" s="65">
        <v>0.7</v>
      </c>
      <c r="M247" s="65">
        <v>1</v>
      </c>
      <c r="N247" s="144">
        <v>0.1</v>
      </c>
      <c r="O247" s="102" t="s">
        <v>682</v>
      </c>
      <c r="P247" s="170">
        <v>0.3</v>
      </c>
      <c r="Q247" s="146" t="s">
        <v>784</v>
      </c>
      <c r="R247" s="216">
        <v>0.75</v>
      </c>
      <c r="S247" s="217" t="s">
        <v>967</v>
      </c>
      <c r="T247" s="77">
        <v>1</v>
      </c>
      <c r="U247" s="191" t="s">
        <v>1049</v>
      </c>
    </row>
    <row r="248" spans="1:21">
      <c r="A248" s="76"/>
      <c r="B248" s="76"/>
      <c r="C248" s="76"/>
      <c r="D248" s="77">
        <f>+D247</f>
        <v>0.5</v>
      </c>
      <c r="E248" s="76"/>
      <c r="F248" s="59"/>
      <c r="G248" s="76"/>
      <c r="H248" s="76"/>
      <c r="I248" s="76"/>
      <c r="J248" s="76"/>
      <c r="K248" s="76"/>
      <c r="L248" s="76"/>
      <c r="M248" s="76"/>
      <c r="N248" s="72"/>
      <c r="O248" s="72"/>
      <c r="P248" s="72"/>
      <c r="Q248" s="72"/>
      <c r="R248" s="72"/>
      <c r="S248" s="72"/>
      <c r="T248" s="72"/>
      <c r="U248" s="72"/>
    </row>
    <row r="249" spans="1:21" ht="33.75">
      <c r="A249" s="316" t="s">
        <v>515</v>
      </c>
      <c r="B249" s="316"/>
      <c r="C249" s="316"/>
      <c r="D249" s="316"/>
      <c r="E249" s="316"/>
      <c r="F249" s="316"/>
      <c r="G249" s="316"/>
      <c r="H249" s="316"/>
      <c r="I249" s="316"/>
      <c r="J249" s="316"/>
      <c r="K249" s="316"/>
      <c r="L249" s="316"/>
      <c r="M249" s="316"/>
      <c r="N249" s="316"/>
      <c r="O249" s="316"/>
      <c r="P249" s="316"/>
      <c r="Q249" s="316"/>
      <c r="R249" s="316"/>
      <c r="S249" s="316"/>
      <c r="T249" s="316"/>
      <c r="U249" s="316"/>
    </row>
    <row r="250" spans="1:21" ht="18.75">
      <c r="A250" s="339" t="s">
        <v>103</v>
      </c>
      <c r="B250" s="339" t="s">
        <v>74</v>
      </c>
      <c r="C250" s="339" t="s">
        <v>65</v>
      </c>
      <c r="D250" s="339" t="s">
        <v>66</v>
      </c>
      <c r="E250" s="339" t="s">
        <v>67</v>
      </c>
      <c r="F250" s="340" t="s">
        <v>68</v>
      </c>
      <c r="G250" s="339" t="s">
        <v>69</v>
      </c>
      <c r="H250" s="341" t="s">
        <v>70</v>
      </c>
      <c r="I250" s="341"/>
      <c r="J250" s="341" t="s">
        <v>79</v>
      </c>
      <c r="K250" s="341"/>
      <c r="L250" s="341"/>
      <c r="M250" s="341"/>
      <c r="N250" s="331" t="s">
        <v>511</v>
      </c>
      <c r="O250" s="331"/>
      <c r="P250" s="331"/>
      <c r="Q250" s="331"/>
      <c r="R250" s="331"/>
      <c r="S250" s="331"/>
      <c r="T250" s="331"/>
      <c r="U250" s="331"/>
    </row>
    <row r="251" spans="1:21" ht="15.75">
      <c r="A251" s="339"/>
      <c r="B251" s="339"/>
      <c r="C251" s="339"/>
      <c r="D251" s="339"/>
      <c r="E251" s="339"/>
      <c r="F251" s="340"/>
      <c r="G251" s="339"/>
      <c r="H251" s="332" t="s">
        <v>71</v>
      </c>
      <c r="I251" s="332" t="s">
        <v>197</v>
      </c>
      <c r="J251" s="15" t="s">
        <v>75</v>
      </c>
      <c r="K251" s="15" t="s">
        <v>76</v>
      </c>
      <c r="L251" s="15" t="s">
        <v>77</v>
      </c>
      <c r="M251" s="15" t="s">
        <v>78</v>
      </c>
      <c r="N251" s="333" t="s">
        <v>75</v>
      </c>
      <c r="O251" s="333"/>
      <c r="P251" s="333" t="s">
        <v>76</v>
      </c>
      <c r="Q251" s="333"/>
      <c r="R251" s="333" t="s">
        <v>77</v>
      </c>
      <c r="S251" s="333"/>
      <c r="T251" s="333" t="s">
        <v>78</v>
      </c>
      <c r="U251" s="333"/>
    </row>
    <row r="252" spans="1:21" ht="31.5">
      <c r="A252" s="339"/>
      <c r="B252" s="339"/>
      <c r="C252" s="339"/>
      <c r="D252" s="339"/>
      <c r="E252" s="339"/>
      <c r="F252" s="340"/>
      <c r="G252" s="339"/>
      <c r="H252" s="332"/>
      <c r="I252" s="332"/>
      <c r="J252" s="101" t="s">
        <v>64</v>
      </c>
      <c r="K252" s="55" t="s">
        <v>64</v>
      </c>
      <c r="L252" s="55" t="s">
        <v>64</v>
      </c>
      <c r="M252" s="55" t="s">
        <v>64</v>
      </c>
      <c r="N252" s="185" t="s">
        <v>514</v>
      </c>
      <c r="O252" s="185" t="s">
        <v>513</v>
      </c>
      <c r="P252" s="185" t="s">
        <v>514</v>
      </c>
      <c r="Q252" s="185" t="s">
        <v>513</v>
      </c>
      <c r="R252" s="185" t="s">
        <v>514</v>
      </c>
      <c r="S252" s="185" t="s">
        <v>513</v>
      </c>
      <c r="T252" s="185" t="s">
        <v>514</v>
      </c>
      <c r="U252" s="185" t="s">
        <v>513</v>
      </c>
    </row>
    <row r="253" spans="1:21" s="73" customFormat="1" ht="33.75">
      <c r="A253" s="316" t="s">
        <v>487</v>
      </c>
      <c r="B253" s="316"/>
      <c r="C253" s="316"/>
      <c r="D253" s="316"/>
      <c r="E253" s="316"/>
      <c r="F253" s="316"/>
      <c r="G253" s="316"/>
      <c r="H253" s="316"/>
      <c r="I253" s="316"/>
      <c r="J253" s="316"/>
      <c r="K253" s="316"/>
      <c r="L253" s="316"/>
      <c r="M253" s="316"/>
      <c r="N253" s="316"/>
      <c r="O253" s="316"/>
      <c r="P253" s="316"/>
      <c r="Q253" s="316"/>
      <c r="R253" s="316"/>
      <c r="S253" s="316"/>
      <c r="T253" s="316"/>
      <c r="U253" s="316"/>
    </row>
    <row r="254" spans="1:21" ht="76.5">
      <c r="A254" s="372" t="s">
        <v>199</v>
      </c>
      <c r="B254" s="372" t="s">
        <v>200</v>
      </c>
      <c r="C254" s="49" t="s">
        <v>488</v>
      </c>
      <c r="D254" s="41">
        <v>5.5500000000000001E-2</v>
      </c>
      <c r="E254" s="65" t="s">
        <v>112</v>
      </c>
      <c r="F254" s="63">
        <v>1000</v>
      </c>
      <c r="G254" s="42" t="s">
        <v>489</v>
      </c>
      <c r="H254" s="40">
        <v>43101</v>
      </c>
      <c r="I254" s="30">
        <v>43465</v>
      </c>
      <c r="J254" s="50">
        <v>500</v>
      </c>
      <c r="K254" s="50"/>
      <c r="L254" s="50">
        <v>1000</v>
      </c>
      <c r="M254" s="50"/>
      <c r="N254" s="76">
        <v>395</v>
      </c>
      <c r="O254" s="126" t="s">
        <v>683</v>
      </c>
      <c r="P254" s="170">
        <v>0.4</v>
      </c>
      <c r="Q254" s="170" t="s">
        <v>773</v>
      </c>
      <c r="R254" s="199">
        <v>0.68</v>
      </c>
      <c r="S254" s="181" t="s">
        <v>968</v>
      </c>
      <c r="T254" s="199">
        <v>0.68</v>
      </c>
      <c r="U254" s="251" t="s">
        <v>968</v>
      </c>
    </row>
    <row r="255" spans="1:21" ht="78.75">
      <c r="A255" s="372"/>
      <c r="B255" s="372"/>
      <c r="C255" s="49" t="s">
        <v>490</v>
      </c>
      <c r="D255" s="41">
        <v>5.5500000000000001E-2</v>
      </c>
      <c r="E255" s="42" t="s">
        <v>112</v>
      </c>
      <c r="F255" s="63">
        <v>3000</v>
      </c>
      <c r="G255" s="42" t="s">
        <v>491</v>
      </c>
      <c r="H255" s="40">
        <v>43101</v>
      </c>
      <c r="I255" s="30">
        <v>43465</v>
      </c>
      <c r="J255" s="50">
        <v>1500</v>
      </c>
      <c r="K255" s="50"/>
      <c r="L255" s="50">
        <v>3000</v>
      </c>
      <c r="M255" s="50"/>
      <c r="N255" s="76">
        <v>951</v>
      </c>
      <c r="O255" s="126" t="s">
        <v>684</v>
      </c>
      <c r="P255" s="170">
        <v>0.32</v>
      </c>
      <c r="Q255" s="170" t="s">
        <v>774</v>
      </c>
      <c r="R255" s="199">
        <v>0.68</v>
      </c>
      <c r="S255" s="181" t="s">
        <v>969</v>
      </c>
      <c r="T255" s="199">
        <v>0.68</v>
      </c>
      <c r="U255" s="251" t="s">
        <v>969</v>
      </c>
    </row>
    <row r="256" spans="1:21" ht="63">
      <c r="A256" s="372"/>
      <c r="B256" s="372"/>
      <c r="C256" s="372" t="s">
        <v>492</v>
      </c>
      <c r="D256" s="373">
        <v>5.5599999999999997E-2</v>
      </c>
      <c r="E256" s="374" t="s">
        <v>112</v>
      </c>
      <c r="F256" s="375">
        <v>10</v>
      </c>
      <c r="G256" s="53" t="s">
        <v>493</v>
      </c>
      <c r="H256" s="40">
        <v>43101</v>
      </c>
      <c r="I256" s="30">
        <v>43465</v>
      </c>
      <c r="J256" s="375"/>
      <c r="K256" s="375">
        <v>5</v>
      </c>
      <c r="L256" s="375"/>
      <c r="M256" s="375">
        <v>10</v>
      </c>
      <c r="N256" s="362">
        <v>0.25</v>
      </c>
      <c r="O256" s="351" t="s">
        <v>685</v>
      </c>
      <c r="P256" s="358">
        <v>0.4</v>
      </c>
      <c r="Q256" s="356" t="s">
        <v>775</v>
      </c>
      <c r="R256" s="360">
        <v>0.6</v>
      </c>
      <c r="S256" s="357" t="s">
        <v>970</v>
      </c>
      <c r="T256" s="360">
        <v>0.6</v>
      </c>
      <c r="U256" s="347" t="s">
        <v>1010</v>
      </c>
    </row>
    <row r="257" spans="1:21" ht="47.25">
      <c r="A257" s="372"/>
      <c r="B257" s="372"/>
      <c r="C257" s="372"/>
      <c r="D257" s="373"/>
      <c r="E257" s="374"/>
      <c r="F257" s="375"/>
      <c r="G257" s="53" t="s">
        <v>494</v>
      </c>
      <c r="H257" s="40">
        <v>43101</v>
      </c>
      <c r="I257" s="30">
        <v>43465</v>
      </c>
      <c r="J257" s="375"/>
      <c r="K257" s="375">
        <v>0.5</v>
      </c>
      <c r="L257" s="375"/>
      <c r="M257" s="375">
        <v>1</v>
      </c>
      <c r="N257" s="363"/>
      <c r="O257" s="352"/>
      <c r="P257" s="358"/>
      <c r="Q257" s="356"/>
      <c r="R257" s="361"/>
      <c r="S257" s="357"/>
      <c r="T257" s="361"/>
      <c r="U257" s="347"/>
    </row>
    <row r="258" spans="1:21" ht="47.25">
      <c r="A258" s="372"/>
      <c r="B258" s="372"/>
      <c r="C258" s="372"/>
      <c r="D258" s="373"/>
      <c r="E258" s="374"/>
      <c r="F258" s="375"/>
      <c r="G258" s="53" t="s">
        <v>495</v>
      </c>
      <c r="H258" s="40">
        <v>43101</v>
      </c>
      <c r="I258" s="30">
        <v>43465</v>
      </c>
      <c r="J258" s="375"/>
      <c r="K258" s="375">
        <v>0.5</v>
      </c>
      <c r="L258" s="375"/>
      <c r="M258" s="375">
        <v>1</v>
      </c>
      <c r="N258" s="363"/>
      <c r="O258" s="352"/>
      <c r="P258" s="358"/>
      <c r="Q258" s="356"/>
      <c r="R258" s="361"/>
      <c r="S258" s="357"/>
      <c r="T258" s="361"/>
      <c r="U258" s="347"/>
    </row>
    <row r="259" spans="1:21" ht="63">
      <c r="A259" s="372"/>
      <c r="B259" s="372"/>
      <c r="C259" s="372" t="s">
        <v>496</v>
      </c>
      <c r="D259" s="376">
        <v>5.5599999999999997E-2</v>
      </c>
      <c r="E259" s="350" t="s">
        <v>105</v>
      </c>
      <c r="F259" s="359">
        <v>1</v>
      </c>
      <c r="G259" s="61" t="s">
        <v>497</v>
      </c>
      <c r="H259" s="40">
        <v>43101</v>
      </c>
      <c r="I259" s="30">
        <v>43465</v>
      </c>
      <c r="J259" s="359">
        <v>0.25</v>
      </c>
      <c r="K259" s="359">
        <v>0.5</v>
      </c>
      <c r="L259" s="359">
        <v>0.75</v>
      </c>
      <c r="M259" s="359">
        <v>1</v>
      </c>
      <c r="N259" s="348">
        <v>0.25</v>
      </c>
      <c r="O259" s="353" t="s">
        <v>686</v>
      </c>
      <c r="P259" s="359">
        <v>0.75</v>
      </c>
      <c r="Q259" s="356" t="s">
        <v>776</v>
      </c>
      <c r="R259" s="348">
        <v>1</v>
      </c>
      <c r="S259" s="357" t="s">
        <v>971</v>
      </c>
      <c r="T259" s="348">
        <v>1</v>
      </c>
      <c r="U259" s="347" t="s">
        <v>971</v>
      </c>
    </row>
    <row r="260" spans="1:21" ht="47.25">
      <c r="A260" s="372"/>
      <c r="B260" s="372"/>
      <c r="C260" s="372"/>
      <c r="D260" s="350"/>
      <c r="E260" s="350"/>
      <c r="F260" s="359"/>
      <c r="G260" s="61" t="s">
        <v>498</v>
      </c>
      <c r="H260" s="40">
        <v>43101</v>
      </c>
      <c r="I260" s="30">
        <v>43465</v>
      </c>
      <c r="J260" s="359">
        <v>0.25</v>
      </c>
      <c r="K260" s="359">
        <v>0.5</v>
      </c>
      <c r="L260" s="359">
        <v>0.75</v>
      </c>
      <c r="M260" s="359">
        <v>1</v>
      </c>
      <c r="N260" s="348"/>
      <c r="O260" s="353"/>
      <c r="P260" s="359"/>
      <c r="Q260" s="356"/>
      <c r="R260" s="348"/>
      <c r="S260" s="357"/>
      <c r="T260" s="348"/>
      <c r="U260" s="347"/>
    </row>
    <row r="261" spans="1:21" ht="31.5">
      <c r="A261" s="372"/>
      <c r="B261" s="372"/>
      <c r="C261" s="372"/>
      <c r="D261" s="350"/>
      <c r="E261" s="350"/>
      <c r="F261" s="359"/>
      <c r="G261" s="61" t="s">
        <v>499</v>
      </c>
      <c r="H261" s="40">
        <v>43101</v>
      </c>
      <c r="I261" s="30">
        <v>43465</v>
      </c>
      <c r="J261" s="359">
        <v>0.25</v>
      </c>
      <c r="K261" s="359">
        <v>0.5</v>
      </c>
      <c r="L261" s="359">
        <v>0.75</v>
      </c>
      <c r="M261" s="359">
        <v>1</v>
      </c>
      <c r="N261" s="348"/>
      <c r="O261" s="353"/>
      <c r="P261" s="359"/>
      <c r="Q261" s="356"/>
      <c r="R261" s="348"/>
      <c r="S261" s="357"/>
      <c r="T261" s="348"/>
      <c r="U261" s="347"/>
    </row>
    <row r="262" spans="1:21" ht="31.5">
      <c r="A262" s="372"/>
      <c r="B262" s="372"/>
      <c r="C262" s="372"/>
      <c r="D262" s="350"/>
      <c r="E262" s="350"/>
      <c r="F262" s="359"/>
      <c r="G262" s="61" t="s">
        <v>500</v>
      </c>
      <c r="H262" s="40">
        <v>43101</v>
      </c>
      <c r="I262" s="30">
        <v>43465</v>
      </c>
      <c r="J262" s="359">
        <v>0.25</v>
      </c>
      <c r="K262" s="359">
        <v>0.5</v>
      </c>
      <c r="L262" s="359">
        <v>0.75</v>
      </c>
      <c r="M262" s="359">
        <v>1</v>
      </c>
      <c r="N262" s="348"/>
      <c r="O262" s="353"/>
      <c r="P262" s="359"/>
      <c r="Q262" s="356"/>
      <c r="R262" s="348"/>
      <c r="S262" s="357"/>
      <c r="T262" s="348"/>
      <c r="U262" s="347"/>
    </row>
    <row r="263" spans="1:21" ht="189">
      <c r="A263" s="372"/>
      <c r="B263" s="372"/>
      <c r="C263" s="61" t="s">
        <v>501</v>
      </c>
      <c r="D263" s="67">
        <v>5.5500000000000001E-2</v>
      </c>
      <c r="E263" s="62" t="s">
        <v>112</v>
      </c>
      <c r="F263" s="63">
        <v>300</v>
      </c>
      <c r="G263" s="53" t="s">
        <v>502</v>
      </c>
      <c r="H263" s="40">
        <v>43101</v>
      </c>
      <c r="I263" s="30">
        <v>43465</v>
      </c>
      <c r="J263" s="106">
        <v>150</v>
      </c>
      <c r="K263" s="63"/>
      <c r="L263" s="63">
        <v>150</v>
      </c>
      <c r="M263" s="63"/>
      <c r="N263" s="145">
        <v>0.66666666666666663</v>
      </c>
      <c r="O263" s="143" t="s">
        <v>687</v>
      </c>
      <c r="P263" s="171">
        <v>0.67</v>
      </c>
      <c r="Q263" s="170" t="s">
        <v>777</v>
      </c>
      <c r="R263" s="218">
        <v>1</v>
      </c>
      <c r="S263" s="181" t="s">
        <v>972</v>
      </c>
      <c r="T263" s="252">
        <v>1</v>
      </c>
      <c r="U263" s="251" t="s">
        <v>972</v>
      </c>
    </row>
    <row r="264" spans="1:21" ht="102">
      <c r="A264" s="372"/>
      <c r="B264" s="372"/>
      <c r="C264" s="61" t="s">
        <v>503</v>
      </c>
      <c r="D264" s="67">
        <v>5.5500000000000001E-2</v>
      </c>
      <c r="E264" s="62" t="s">
        <v>105</v>
      </c>
      <c r="F264" s="62">
        <v>1</v>
      </c>
      <c r="G264" s="53" t="s">
        <v>504</v>
      </c>
      <c r="H264" s="40">
        <v>43101</v>
      </c>
      <c r="I264" s="30">
        <v>43465</v>
      </c>
      <c r="J264" s="105"/>
      <c r="K264" s="62">
        <v>0.5</v>
      </c>
      <c r="L264" s="62"/>
      <c r="M264" s="62">
        <v>1</v>
      </c>
      <c r="N264" s="105">
        <v>7.0000000000000007E-2</v>
      </c>
      <c r="O264" s="146" t="s">
        <v>688</v>
      </c>
      <c r="P264" s="171">
        <v>0.4</v>
      </c>
      <c r="Q264" s="170" t="s">
        <v>778</v>
      </c>
      <c r="R264" s="177">
        <v>0.76</v>
      </c>
      <c r="S264" s="219" t="s">
        <v>973</v>
      </c>
      <c r="T264" s="250">
        <v>1</v>
      </c>
      <c r="U264" s="261" t="s">
        <v>1011</v>
      </c>
    </row>
    <row r="265" spans="1:21" ht="204.75">
      <c r="A265" s="372"/>
      <c r="B265" s="372"/>
      <c r="C265" s="61" t="s">
        <v>505</v>
      </c>
      <c r="D265" s="67">
        <v>5.5599999999999997E-2</v>
      </c>
      <c r="E265" s="64" t="s">
        <v>105</v>
      </c>
      <c r="F265" s="66">
        <v>1</v>
      </c>
      <c r="G265" s="61" t="s">
        <v>506</v>
      </c>
      <c r="H265" s="40">
        <v>43101</v>
      </c>
      <c r="I265" s="30">
        <v>43465</v>
      </c>
      <c r="J265" s="103">
        <v>0.5</v>
      </c>
      <c r="K265" s="66">
        <v>1</v>
      </c>
      <c r="L265" s="66"/>
      <c r="M265" s="66"/>
      <c r="N265" s="103">
        <v>1</v>
      </c>
      <c r="O265" s="126" t="s">
        <v>689</v>
      </c>
      <c r="P265" s="152">
        <v>1</v>
      </c>
      <c r="Q265" s="170" t="s">
        <v>779</v>
      </c>
      <c r="R265" s="177">
        <v>1</v>
      </c>
      <c r="S265" s="220" t="s">
        <v>974</v>
      </c>
      <c r="T265" s="250">
        <v>1</v>
      </c>
      <c r="U265" s="261" t="s">
        <v>1012</v>
      </c>
    </row>
    <row r="266" spans="1:21" ht="31.5">
      <c r="A266" s="372"/>
      <c r="B266" s="372"/>
      <c r="C266" s="372" t="s">
        <v>507</v>
      </c>
      <c r="D266" s="368">
        <v>5.5599999999999997E-2</v>
      </c>
      <c r="E266" s="350" t="s">
        <v>105</v>
      </c>
      <c r="F266" s="349">
        <v>1</v>
      </c>
      <c r="G266" s="61" t="s">
        <v>508</v>
      </c>
      <c r="H266" s="40">
        <v>43101</v>
      </c>
      <c r="I266" s="30">
        <v>43465</v>
      </c>
      <c r="J266" s="349">
        <v>0.25</v>
      </c>
      <c r="K266" s="349">
        <v>0.5</v>
      </c>
      <c r="L266" s="349">
        <v>0.75</v>
      </c>
      <c r="M266" s="349">
        <v>1</v>
      </c>
      <c r="N266" s="349">
        <v>0.25</v>
      </c>
      <c r="O266" s="354" t="s">
        <v>690</v>
      </c>
      <c r="P266" s="359">
        <v>0.25</v>
      </c>
      <c r="Q266" s="356" t="s">
        <v>780</v>
      </c>
      <c r="R266" s="349">
        <v>0.5</v>
      </c>
      <c r="S266" s="357" t="s">
        <v>975</v>
      </c>
      <c r="T266" s="349">
        <v>1</v>
      </c>
      <c r="U266" s="347" t="s">
        <v>1013</v>
      </c>
    </row>
    <row r="267" spans="1:21" ht="15.75">
      <c r="A267" s="372"/>
      <c r="B267" s="372"/>
      <c r="C267" s="372"/>
      <c r="D267" s="368"/>
      <c r="E267" s="350"/>
      <c r="F267" s="350"/>
      <c r="G267" s="61" t="s">
        <v>509</v>
      </c>
      <c r="H267" s="40">
        <v>43101</v>
      </c>
      <c r="I267" s="30">
        <v>43465</v>
      </c>
      <c r="J267" s="350">
        <v>0.25</v>
      </c>
      <c r="K267" s="350">
        <v>0.5</v>
      </c>
      <c r="L267" s="350">
        <v>0.75</v>
      </c>
      <c r="M267" s="350">
        <v>1</v>
      </c>
      <c r="N267" s="350"/>
      <c r="O267" s="354"/>
      <c r="P267" s="359"/>
      <c r="Q267" s="356"/>
      <c r="R267" s="350"/>
      <c r="S267" s="357"/>
      <c r="T267" s="350"/>
      <c r="U267" s="347"/>
    </row>
    <row r="268" spans="1:21" ht="31.5">
      <c r="A268" s="372"/>
      <c r="B268" s="372"/>
      <c r="C268" s="372" t="s">
        <v>510</v>
      </c>
      <c r="D268" s="368">
        <v>5.5599999999999997E-2</v>
      </c>
      <c r="E268" s="350" t="s">
        <v>105</v>
      </c>
      <c r="F268" s="349">
        <v>1</v>
      </c>
      <c r="G268" s="61" t="s">
        <v>508</v>
      </c>
      <c r="H268" s="40">
        <v>43101</v>
      </c>
      <c r="I268" s="30">
        <v>43465</v>
      </c>
      <c r="J268" s="349">
        <v>0.25</v>
      </c>
      <c r="K268" s="349">
        <v>0.5</v>
      </c>
      <c r="L268" s="349">
        <v>0.75</v>
      </c>
      <c r="M268" s="349">
        <v>1</v>
      </c>
      <c r="N268" s="349">
        <v>0.2</v>
      </c>
      <c r="O268" s="355" t="s">
        <v>691</v>
      </c>
      <c r="P268" s="359">
        <v>0.4</v>
      </c>
      <c r="Q268" s="356" t="s">
        <v>781</v>
      </c>
      <c r="R268" s="349">
        <v>0.7</v>
      </c>
      <c r="S268" s="357" t="s">
        <v>976</v>
      </c>
      <c r="T268" s="349">
        <v>0.9</v>
      </c>
      <c r="U268" s="347" t="s">
        <v>1014</v>
      </c>
    </row>
    <row r="269" spans="1:21" ht="15.75">
      <c r="A269" s="372"/>
      <c r="B269" s="372"/>
      <c r="C269" s="372"/>
      <c r="D269" s="368"/>
      <c r="E269" s="350"/>
      <c r="F269" s="350"/>
      <c r="G269" s="61" t="s">
        <v>509</v>
      </c>
      <c r="H269" s="40">
        <v>43101</v>
      </c>
      <c r="I269" s="30">
        <v>43465</v>
      </c>
      <c r="J269" s="350">
        <v>0.25</v>
      </c>
      <c r="K269" s="350">
        <v>0.5</v>
      </c>
      <c r="L269" s="350">
        <v>0.75</v>
      </c>
      <c r="M269" s="350">
        <v>1</v>
      </c>
      <c r="N269" s="350"/>
      <c r="O269" s="355"/>
      <c r="P269" s="359"/>
      <c r="Q269" s="356"/>
      <c r="R269" s="350"/>
      <c r="S269" s="357"/>
      <c r="T269" s="350"/>
      <c r="U269" s="347"/>
    </row>
    <row r="270" spans="1:21">
      <c r="D270" s="100">
        <f>SUM(D254:D268)</f>
        <v>0.49999999999999994</v>
      </c>
    </row>
  </sheetData>
  <mergeCells count="418">
    <mergeCell ref="Q206:Q207"/>
    <mergeCell ref="O206:O207"/>
    <mergeCell ref="A20:U20"/>
    <mergeCell ref="A159:A177"/>
    <mergeCell ref="B159:B177"/>
    <mergeCell ref="J268:J269"/>
    <mergeCell ref="J259:J262"/>
    <mergeCell ref="K259:K262"/>
    <mergeCell ref="L259:L262"/>
    <mergeCell ref="M259:M262"/>
    <mergeCell ref="C266:C267"/>
    <mergeCell ref="D266:D267"/>
    <mergeCell ref="E266:E267"/>
    <mergeCell ref="F266:F267"/>
    <mergeCell ref="J266:J267"/>
    <mergeCell ref="K266:K267"/>
    <mergeCell ref="L266:L267"/>
    <mergeCell ref="M266:M267"/>
    <mergeCell ref="A205:A240"/>
    <mergeCell ref="B205:B240"/>
    <mergeCell ref="G206:G207"/>
    <mergeCell ref="H206:H207"/>
    <mergeCell ref="I206:I207"/>
    <mergeCell ref="A184:A185"/>
    <mergeCell ref="B184:B185"/>
    <mergeCell ref="A192:A198"/>
    <mergeCell ref="B192:B198"/>
    <mergeCell ref="G144:G146"/>
    <mergeCell ref="H144:I144"/>
    <mergeCell ref="J144:M144"/>
    <mergeCell ref="A254:A269"/>
    <mergeCell ref="B254:B269"/>
    <mergeCell ref="C256:C258"/>
    <mergeCell ref="D256:D258"/>
    <mergeCell ref="E256:E258"/>
    <mergeCell ref="F256:F258"/>
    <mergeCell ref="J256:J258"/>
    <mergeCell ref="K256:K258"/>
    <mergeCell ref="L256:L258"/>
    <mergeCell ref="M256:M258"/>
    <mergeCell ref="C259:C262"/>
    <mergeCell ref="D259:D262"/>
    <mergeCell ref="E259:E262"/>
    <mergeCell ref="F259:F262"/>
    <mergeCell ref="K268:K269"/>
    <mergeCell ref="L268:L269"/>
    <mergeCell ref="M268:M269"/>
    <mergeCell ref="C268:C269"/>
    <mergeCell ref="D268:D269"/>
    <mergeCell ref="E268:E269"/>
    <mergeCell ref="F268:F269"/>
    <mergeCell ref="A148:A152"/>
    <mergeCell ref="B148:B152"/>
    <mergeCell ref="M108:M111"/>
    <mergeCell ref="A125:A131"/>
    <mergeCell ref="A138:A141"/>
    <mergeCell ref="B138:B141"/>
    <mergeCell ref="H108:H111"/>
    <mergeCell ref="I108:I111"/>
    <mergeCell ref="J108:J111"/>
    <mergeCell ref="K108:K111"/>
    <mergeCell ref="L108:L111"/>
    <mergeCell ref="B108:B111"/>
    <mergeCell ref="C108:C111"/>
    <mergeCell ref="D108:D111"/>
    <mergeCell ref="E108:E111"/>
    <mergeCell ref="F108:F111"/>
    <mergeCell ref="A124:U124"/>
    <mergeCell ref="A143:U143"/>
    <mergeCell ref="A144:A146"/>
    <mergeCell ref="B144:B146"/>
    <mergeCell ref="C144:C146"/>
    <mergeCell ref="D144:D146"/>
    <mergeCell ref="E144:E146"/>
    <mergeCell ref="F144:F146"/>
    <mergeCell ref="M101:M103"/>
    <mergeCell ref="B105:B106"/>
    <mergeCell ref="C105:C106"/>
    <mergeCell ref="D105:D106"/>
    <mergeCell ref="E105:E106"/>
    <mergeCell ref="F105:F106"/>
    <mergeCell ref="H105:H106"/>
    <mergeCell ref="I105:I106"/>
    <mergeCell ref="J105:J106"/>
    <mergeCell ref="K105:K106"/>
    <mergeCell ref="L105:L106"/>
    <mergeCell ref="M105:M106"/>
    <mergeCell ref="H101:H103"/>
    <mergeCell ref="I101:I103"/>
    <mergeCell ref="J101:J103"/>
    <mergeCell ref="K101:K103"/>
    <mergeCell ref="L101:L103"/>
    <mergeCell ref="B101:B103"/>
    <mergeCell ref="C101:C103"/>
    <mergeCell ref="D101:D103"/>
    <mergeCell ref="E101:E103"/>
    <mergeCell ref="J86:J89"/>
    <mergeCell ref="K86:K89"/>
    <mergeCell ref="L86:L89"/>
    <mergeCell ref="M86:M89"/>
    <mergeCell ref="M92:M93"/>
    <mergeCell ref="B98:B99"/>
    <mergeCell ref="C98:C99"/>
    <mergeCell ref="D98:D99"/>
    <mergeCell ref="E98:E99"/>
    <mergeCell ref="F98:F99"/>
    <mergeCell ref="H98:H99"/>
    <mergeCell ref="I98:I99"/>
    <mergeCell ref="J98:J99"/>
    <mergeCell ref="K98:K99"/>
    <mergeCell ref="L98:L99"/>
    <mergeCell ref="M98:M99"/>
    <mergeCell ref="H92:H93"/>
    <mergeCell ref="I92:I93"/>
    <mergeCell ref="J92:J93"/>
    <mergeCell ref="K92:K93"/>
    <mergeCell ref="L92:L93"/>
    <mergeCell ref="B92:B93"/>
    <mergeCell ref="C92:C93"/>
    <mergeCell ref="A26:A79"/>
    <mergeCell ref="B26:B79"/>
    <mergeCell ref="A86:A118"/>
    <mergeCell ref="B86:B89"/>
    <mergeCell ref="C86:C89"/>
    <mergeCell ref="D86:D89"/>
    <mergeCell ref="E86:E89"/>
    <mergeCell ref="F86:F89"/>
    <mergeCell ref="H86:H89"/>
    <mergeCell ref="D92:D93"/>
    <mergeCell ref="E92:E93"/>
    <mergeCell ref="F92:F93"/>
    <mergeCell ref="E82:E84"/>
    <mergeCell ref="F82:F84"/>
    <mergeCell ref="G82:G84"/>
    <mergeCell ref="H82:I82"/>
    <mergeCell ref="I86:I89"/>
    <mergeCell ref="F101:F103"/>
    <mergeCell ref="E5:E7"/>
    <mergeCell ref="F5:F7"/>
    <mergeCell ref="A5:A7"/>
    <mergeCell ref="B5:B7"/>
    <mergeCell ref="C5:C7"/>
    <mergeCell ref="D5:D7"/>
    <mergeCell ref="G5:G7"/>
    <mergeCell ref="H5:I5"/>
    <mergeCell ref="J5:M5"/>
    <mergeCell ref="H6:H7"/>
    <mergeCell ref="I6:I7"/>
    <mergeCell ref="N22:U22"/>
    <mergeCell ref="N23:O23"/>
    <mergeCell ref="P23:Q23"/>
    <mergeCell ref="R23:S23"/>
    <mergeCell ref="T23:U23"/>
    <mergeCell ref="A19:U19"/>
    <mergeCell ref="A21:U21"/>
    <mergeCell ref="A8:A14"/>
    <mergeCell ref="B8:B11"/>
    <mergeCell ref="B12:B14"/>
    <mergeCell ref="A22:A24"/>
    <mergeCell ref="B22:B24"/>
    <mergeCell ref="C22:C24"/>
    <mergeCell ref="D22:D24"/>
    <mergeCell ref="E22:E24"/>
    <mergeCell ref="F22:F24"/>
    <mergeCell ref="G22:G24"/>
    <mergeCell ref="H22:I22"/>
    <mergeCell ref="J22:M22"/>
    <mergeCell ref="H23:H24"/>
    <mergeCell ref="I23:I24"/>
    <mergeCell ref="A25:U25"/>
    <mergeCell ref="A85:U85"/>
    <mergeCell ref="A120:U120"/>
    <mergeCell ref="A121:A123"/>
    <mergeCell ref="B121:B123"/>
    <mergeCell ref="C121:C123"/>
    <mergeCell ref="D121:D123"/>
    <mergeCell ref="E121:E123"/>
    <mergeCell ref="F121:F123"/>
    <mergeCell ref="G121:G123"/>
    <mergeCell ref="H121:I121"/>
    <mergeCell ref="J121:M121"/>
    <mergeCell ref="N121:U121"/>
    <mergeCell ref="H122:H123"/>
    <mergeCell ref="I122:I123"/>
    <mergeCell ref="N122:O122"/>
    <mergeCell ref="P122:Q122"/>
    <mergeCell ref="R122:S122"/>
    <mergeCell ref="T122:U122"/>
    <mergeCell ref="A81:U81"/>
    <mergeCell ref="A82:A84"/>
    <mergeCell ref="B82:B84"/>
    <mergeCell ref="C82:C84"/>
    <mergeCell ref="D82:D84"/>
    <mergeCell ref="N144:U144"/>
    <mergeCell ref="H145:H146"/>
    <mergeCell ref="I145:I146"/>
    <mergeCell ref="N145:O145"/>
    <mergeCell ref="P145:Q145"/>
    <mergeCell ref="R145:S145"/>
    <mergeCell ref="T145:U145"/>
    <mergeCell ref="A187:U187"/>
    <mergeCell ref="A188:A190"/>
    <mergeCell ref="B188:B190"/>
    <mergeCell ref="C188:C190"/>
    <mergeCell ref="D188:D190"/>
    <mergeCell ref="E188:E190"/>
    <mergeCell ref="F188:F190"/>
    <mergeCell ref="G188:G190"/>
    <mergeCell ref="H188:I188"/>
    <mergeCell ref="J188:M188"/>
    <mergeCell ref="N188:U188"/>
    <mergeCell ref="H189:H190"/>
    <mergeCell ref="I189:I190"/>
    <mergeCell ref="N189:O189"/>
    <mergeCell ref="P189:Q189"/>
    <mergeCell ref="R189:S189"/>
    <mergeCell ref="T189:U189"/>
    <mergeCell ref="A200:U200"/>
    <mergeCell ref="A201:A203"/>
    <mergeCell ref="B201:B203"/>
    <mergeCell ref="C201:C203"/>
    <mergeCell ref="D201:D203"/>
    <mergeCell ref="E201:E203"/>
    <mergeCell ref="F201:F203"/>
    <mergeCell ref="G201:G203"/>
    <mergeCell ref="H201:I201"/>
    <mergeCell ref="J201:M201"/>
    <mergeCell ref="N201:U201"/>
    <mergeCell ref="H202:H203"/>
    <mergeCell ref="I202:I203"/>
    <mergeCell ref="N202:O202"/>
    <mergeCell ref="P202:Q202"/>
    <mergeCell ref="R202:S202"/>
    <mergeCell ref="T202:U202"/>
    <mergeCell ref="A242:U242"/>
    <mergeCell ref="A243:A245"/>
    <mergeCell ref="B243:B245"/>
    <mergeCell ref="C243:C245"/>
    <mergeCell ref="D243:D245"/>
    <mergeCell ref="E243:E245"/>
    <mergeCell ref="F243:F245"/>
    <mergeCell ref="G243:G245"/>
    <mergeCell ref="H243:I243"/>
    <mergeCell ref="J243:M243"/>
    <mergeCell ref="N243:U243"/>
    <mergeCell ref="H244:H245"/>
    <mergeCell ref="I244:I245"/>
    <mergeCell ref="N244:O244"/>
    <mergeCell ref="P244:Q244"/>
    <mergeCell ref="R244:S244"/>
    <mergeCell ref="T244:U244"/>
    <mergeCell ref="A249:U249"/>
    <mergeCell ref="A250:A252"/>
    <mergeCell ref="B250:B252"/>
    <mergeCell ref="C250:C252"/>
    <mergeCell ref="D250:D252"/>
    <mergeCell ref="E250:E252"/>
    <mergeCell ref="F250:F252"/>
    <mergeCell ref="G250:G252"/>
    <mergeCell ref="H250:I250"/>
    <mergeCell ref="J250:M250"/>
    <mergeCell ref="N250:U250"/>
    <mergeCell ref="H251:H252"/>
    <mergeCell ref="I251:I252"/>
    <mergeCell ref="N251:O251"/>
    <mergeCell ref="P251:Q251"/>
    <mergeCell ref="R251:S251"/>
    <mergeCell ref="T251:U251"/>
    <mergeCell ref="J82:M82"/>
    <mergeCell ref="N82:U82"/>
    <mergeCell ref="H83:H84"/>
    <mergeCell ref="I83:I84"/>
    <mergeCell ref="N83:O83"/>
    <mergeCell ref="P83:Q83"/>
    <mergeCell ref="R83:S83"/>
    <mergeCell ref="T83:U83"/>
    <mergeCell ref="A137:U137"/>
    <mergeCell ref="N86:N89"/>
    <mergeCell ref="O86:O89"/>
    <mergeCell ref="P86:P89"/>
    <mergeCell ref="Q86:Q89"/>
    <mergeCell ref="N92:N93"/>
    <mergeCell ref="O92:O93"/>
    <mergeCell ref="P92:P93"/>
    <mergeCell ref="Q92:Q93"/>
    <mergeCell ref="N98:N99"/>
    <mergeCell ref="O98:O99"/>
    <mergeCell ref="P98:P99"/>
    <mergeCell ref="Q98:Q99"/>
    <mergeCell ref="N101:N103"/>
    <mergeCell ref="O101:O103"/>
    <mergeCell ref="P101:P103"/>
    <mergeCell ref="A147:U147"/>
    <mergeCell ref="A158:U158"/>
    <mergeCell ref="A183:U183"/>
    <mergeCell ref="A191:U191"/>
    <mergeCell ref="A204:U204"/>
    <mergeCell ref="A246:U246"/>
    <mergeCell ref="A253:U253"/>
    <mergeCell ref="N256:N258"/>
    <mergeCell ref="T256:T258"/>
    <mergeCell ref="U256:U258"/>
    <mergeCell ref="D180:D182"/>
    <mergeCell ref="E180:E182"/>
    <mergeCell ref="F180:F182"/>
    <mergeCell ref="G180:G182"/>
    <mergeCell ref="H180:I180"/>
    <mergeCell ref="J180:M180"/>
    <mergeCell ref="N180:U180"/>
    <mergeCell ref="H181:H182"/>
    <mergeCell ref="I181:I182"/>
    <mergeCell ref="N181:O181"/>
    <mergeCell ref="P181:Q181"/>
    <mergeCell ref="R181:S181"/>
    <mergeCell ref="T181:U181"/>
    <mergeCell ref="A154:U154"/>
    <mergeCell ref="N268:N269"/>
    <mergeCell ref="P256:P258"/>
    <mergeCell ref="P259:P262"/>
    <mergeCell ref="P266:P267"/>
    <mergeCell ref="P268:P269"/>
    <mergeCell ref="R256:R258"/>
    <mergeCell ref="R259:R262"/>
    <mergeCell ref="R266:R267"/>
    <mergeCell ref="R268:R269"/>
    <mergeCell ref="U259:U262"/>
    <mergeCell ref="U266:U267"/>
    <mergeCell ref="U268:U269"/>
    <mergeCell ref="A179:U179"/>
    <mergeCell ref="A180:A182"/>
    <mergeCell ref="B180:B182"/>
    <mergeCell ref="C180:C182"/>
    <mergeCell ref="T259:T262"/>
    <mergeCell ref="T266:T267"/>
    <mergeCell ref="T268:T269"/>
    <mergeCell ref="O256:O258"/>
    <mergeCell ref="O259:O262"/>
    <mergeCell ref="O266:O267"/>
    <mergeCell ref="O268:O269"/>
    <mergeCell ref="Q256:Q258"/>
    <mergeCell ref="Q259:Q262"/>
    <mergeCell ref="Q266:Q267"/>
    <mergeCell ref="Q268:Q269"/>
    <mergeCell ref="S256:S258"/>
    <mergeCell ref="S259:S262"/>
    <mergeCell ref="S266:S267"/>
    <mergeCell ref="S268:S269"/>
    <mergeCell ref="N259:N262"/>
    <mergeCell ref="N266:N267"/>
    <mergeCell ref="Q101:Q103"/>
    <mergeCell ref="N105:N106"/>
    <mergeCell ref="O105:O106"/>
    <mergeCell ref="P105:P106"/>
    <mergeCell ref="Q105:Q106"/>
    <mergeCell ref="N108:N111"/>
    <mergeCell ref="O108:O111"/>
    <mergeCell ref="P108:P111"/>
    <mergeCell ref="Q108:Q111"/>
    <mergeCell ref="R86:R89"/>
    <mergeCell ref="S86:S89"/>
    <mergeCell ref="T86:T89"/>
    <mergeCell ref="U86:U89"/>
    <mergeCell ref="R92:R93"/>
    <mergeCell ref="S92:S93"/>
    <mergeCell ref="T92:T93"/>
    <mergeCell ref="U92:U93"/>
    <mergeCell ref="R98:R99"/>
    <mergeCell ref="S98:S99"/>
    <mergeCell ref="T98:T99"/>
    <mergeCell ref="U98:U99"/>
    <mergeCell ref="A4:Y4"/>
    <mergeCell ref="A155:A157"/>
    <mergeCell ref="B155:B157"/>
    <mergeCell ref="C155:C157"/>
    <mergeCell ref="D155:D157"/>
    <mergeCell ref="E155:E157"/>
    <mergeCell ref="F155:F157"/>
    <mergeCell ref="G155:G157"/>
    <mergeCell ref="H155:I155"/>
    <mergeCell ref="J155:M155"/>
    <mergeCell ref="A133:U133"/>
    <mergeCell ref="A134:A136"/>
    <mergeCell ref="B134:B136"/>
    <mergeCell ref="C134:C136"/>
    <mergeCell ref="D134:D136"/>
    <mergeCell ref="E134:E136"/>
    <mergeCell ref="F134:F136"/>
    <mergeCell ref="G134:G136"/>
    <mergeCell ref="H134:I134"/>
    <mergeCell ref="J134:M134"/>
    <mergeCell ref="N134:U134"/>
    <mergeCell ref="H135:H136"/>
    <mergeCell ref="I135:I136"/>
    <mergeCell ref="N135:O135"/>
    <mergeCell ref="S206:S207"/>
    <mergeCell ref="N155:U155"/>
    <mergeCell ref="H156:H157"/>
    <mergeCell ref="I156:I157"/>
    <mergeCell ref="N156:O156"/>
    <mergeCell ref="P156:Q156"/>
    <mergeCell ref="R156:S156"/>
    <mergeCell ref="T156:U156"/>
    <mergeCell ref="N5:Y6"/>
    <mergeCell ref="P135:Q135"/>
    <mergeCell ref="R135:S135"/>
    <mergeCell ref="T135:U135"/>
    <mergeCell ref="R101:R103"/>
    <mergeCell ref="S101:S103"/>
    <mergeCell ref="T101:T103"/>
    <mergeCell ref="U101:U103"/>
    <mergeCell ref="R105:R106"/>
    <mergeCell ref="S105:S106"/>
    <mergeCell ref="T105:T106"/>
    <mergeCell ref="U105:U106"/>
    <mergeCell ref="R108:R111"/>
    <mergeCell ref="S108:S111"/>
    <mergeCell ref="T108:T111"/>
    <mergeCell ref="U108:U111"/>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80"/>
  </sheetPr>
  <dimension ref="A1:Z22"/>
  <sheetViews>
    <sheetView zoomScale="70" zoomScaleNormal="70" workbookViewId="0">
      <pane xSplit="12" ySplit="6" topLeftCell="M7" activePane="bottomRight" state="frozen"/>
      <selection pane="topRight" activeCell="M1" sqref="M1"/>
      <selection pane="bottomLeft" activeCell="A7" sqref="A7"/>
      <selection pane="bottomRight" activeCell="AB11" sqref="AB11"/>
    </sheetView>
  </sheetViews>
  <sheetFormatPr baseColWidth="10" defaultColWidth="10.7109375" defaultRowHeight="12.75"/>
  <cols>
    <col min="1" max="1" width="19.7109375" customWidth="1"/>
    <col min="2" max="2" width="21.28515625" customWidth="1"/>
    <col min="3" max="3" width="26.85546875" customWidth="1"/>
    <col min="4" max="4" width="17.28515625" style="11" customWidth="1"/>
    <col min="5" max="5" width="13.28515625" customWidth="1"/>
    <col min="6" max="6" width="13.7109375" style="11" customWidth="1"/>
    <col min="7" max="7" width="38.5703125" customWidth="1"/>
    <col min="8" max="8" width="20" hidden="1" customWidth="1"/>
    <col min="9" max="10" width="17.140625" hidden="1" customWidth="1"/>
    <col min="11" max="11" width="28.5703125" hidden="1" customWidth="1"/>
    <col min="12" max="12" width="17.85546875" hidden="1" customWidth="1"/>
    <col min="13" max="13" width="18.5703125" customWidth="1"/>
    <col min="14" max="14" width="13.42578125" customWidth="1"/>
    <col min="15" max="15" width="13.7109375" customWidth="1"/>
    <col min="16" max="16" width="12.7109375" customWidth="1"/>
    <col min="17" max="17" width="12.42578125" customWidth="1"/>
    <col min="18" max="18" width="11.5703125" customWidth="1"/>
    <col min="19" max="19" width="14.5703125" customWidth="1"/>
    <col min="20" max="20" width="13.5703125" customWidth="1"/>
    <col min="21" max="21" width="11.7109375" customWidth="1"/>
    <col min="25" max="25" width="13" customWidth="1"/>
    <col min="26" max="26" width="24.140625" style="223" customWidth="1"/>
  </cols>
  <sheetData>
    <row r="1" spans="1:26" ht="36" customHeight="1"/>
    <row r="2" spans="1:26" ht="24" customHeight="1"/>
    <row r="4" spans="1:26" ht="33.75">
      <c r="A4" s="337" t="s">
        <v>512</v>
      </c>
      <c r="B4" s="338"/>
      <c r="C4" s="338"/>
      <c r="D4" s="338"/>
      <c r="E4" s="338"/>
      <c r="F4" s="338"/>
      <c r="G4" s="338"/>
      <c r="H4" s="338"/>
      <c r="I4" s="338"/>
      <c r="J4" s="338"/>
      <c r="K4" s="338"/>
      <c r="L4" s="338"/>
      <c r="M4" s="338"/>
      <c r="N4" s="338"/>
      <c r="O4" s="338"/>
      <c r="P4" s="338"/>
      <c r="Q4" s="338"/>
      <c r="R4" s="338"/>
      <c r="S4" s="338"/>
      <c r="T4" s="338"/>
      <c r="U4" s="338"/>
      <c r="V4" s="338"/>
      <c r="W4" s="338"/>
      <c r="X4" s="338"/>
      <c r="Y4" s="338"/>
    </row>
    <row r="5" spans="1:26" ht="33" customHeight="1">
      <c r="A5" s="326" t="s">
        <v>103</v>
      </c>
      <c r="B5" s="326" t="s">
        <v>74</v>
      </c>
      <c r="C5" s="326" t="s">
        <v>65</v>
      </c>
      <c r="D5" s="388" t="s">
        <v>66</v>
      </c>
      <c r="E5" s="326" t="s">
        <v>67</v>
      </c>
      <c r="F5" s="388" t="s">
        <v>68</v>
      </c>
      <c r="G5" s="326" t="s">
        <v>69</v>
      </c>
      <c r="H5" s="328" t="s">
        <v>70</v>
      </c>
      <c r="I5" s="328"/>
      <c r="J5" s="326" t="s">
        <v>79</v>
      </c>
      <c r="K5" s="326"/>
      <c r="L5" s="326"/>
      <c r="M5" s="326"/>
      <c r="N5" s="317" t="s">
        <v>558</v>
      </c>
      <c r="O5" s="317"/>
      <c r="P5" s="317"/>
      <c r="Q5" s="317"/>
      <c r="R5" s="317"/>
      <c r="S5" s="317"/>
      <c r="T5" s="317"/>
      <c r="U5" s="317"/>
      <c r="V5" s="317"/>
      <c r="W5" s="317"/>
      <c r="X5" s="317"/>
      <c r="Y5" s="317"/>
    </row>
    <row r="6" spans="1:26" ht="30" customHeight="1">
      <c r="A6" s="326"/>
      <c r="B6" s="326"/>
      <c r="C6" s="326"/>
      <c r="D6" s="388"/>
      <c r="E6" s="326"/>
      <c r="F6" s="388"/>
      <c r="G6" s="326"/>
      <c r="H6" s="326" t="s">
        <v>71</v>
      </c>
      <c r="I6" s="326" t="s">
        <v>72</v>
      </c>
      <c r="J6" s="116" t="s">
        <v>75</v>
      </c>
      <c r="K6" s="116" t="s">
        <v>76</v>
      </c>
      <c r="L6" s="116" t="s">
        <v>77</v>
      </c>
      <c r="M6" s="116" t="s">
        <v>78</v>
      </c>
      <c r="N6" s="317"/>
      <c r="O6" s="317"/>
      <c r="P6" s="317"/>
      <c r="Q6" s="317"/>
      <c r="R6" s="317"/>
      <c r="S6" s="317"/>
      <c r="T6" s="317"/>
      <c r="U6" s="317"/>
      <c r="V6" s="317"/>
      <c r="W6" s="317"/>
      <c r="X6" s="317"/>
      <c r="Y6" s="317"/>
    </row>
    <row r="7" spans="1:26" ht="58.5" customHeight="1">
      <c r="A7" s="326"/>
      <c r="B7" s="326"/>
      <c r="C7" s="326"/>
      <c r="D7" s="388"/>
      <c r="E7" s="326"/>
      <c r="F7" s="388"/>
      <c r="G7" s="326"/>
      <c r="H7" s="326"/>
      <c r="I7" s="326"/>
      <c r="J7" s="117" t="s">
        <v>138</v>
      </c>
      <c r="K7" s="117" t="s">
        <v>138</v>
      </c>
      <c r="L7" s="117" t="s">
        <v>138</v>
      </c>
      <c r="M7" s="117" t="s">
        <v>138</v>
      </c>
      <c r="N7" s="184" t="s">
        <v>198</v>
      </c>
      <c r="O7" s="184" t="s">
        <v>349</v>
      </c>
      <c r="P7" s="184" t="s">
        <v>283</v>
      </c>
      <c r="Q7" s="184" t="s">
        <v>371</v>
      </c>
      <c r="R7" s="184" t="s">
        <v>380</v>
      </c>
      <c r="S7" s="184" t="s">
        <v>391</v>
      </c>
      <c r="T7" s="184" t="s">
        <v>487</v>
      </c>
      <c r="U7" s="184" t="s">
        <v>392</v>
      </c>
      <c r="V7" s="184" t="s">
        <v>555</v>
      </c>
      <c r="W7" s="184" t="s">
        <v>397</v>
      </c>
      <c r="X7" s="184" t="s">
        <v>556</v>
      </c>
      <c r="Y7" s="184" t="s">
        <v>557</v>
      </c>
    </row>
    <row r="8" spans="1:26" ht="84" customHeight="1">
      <c r="A8" s="319" t="s">
        <v>58</v>
      </c>
      <c r="B8" s="386" t="s">
        <v>82</v>
      </c>
      <c r="C8" s="81" t="s">
        <v>141</v>
      </c>
      <c r="D8" s="82">
        <v>0.12</v>
      </c>
      <c r="E8" s="81" t="s">
        <v>105</v>
      </c>
      <c r="F8" s="82">
        <v>1</v>
      </c>
      <c r="G8" s="83" t="s">
        <v>83</v>
      </c>
      <c r="H8" s="84">
        <v>43102</v>
      </c>
      <c r="I8" s="84">
        <v>43462</v>
      </c>
      <c r="J8" s="82">
        <v>0.25</v>
      </c>
      <c r="K8" s="82">
        <v>0.5</v>
      </c>
      <c r="L8" s="82">
        <v>0.75</v>
      </c>
      <c r="M8" s="82">
        <v>1</v>
      </c>
      <c r="N8" s="121">
        <v>1</v>
      </c>
      <c r="O8" s="82">
        <v>1</v>
      </c>
      <c r="P8" s="82">
        <v>1</v>
      </c>
      <c r="Q8" s="82">
        <v>0.25</v>
      </c>
      <c r="R8" s="82">
        <v>0.97</v>
      </c>
      <c r="S8" s="121">
        <v>1</v>
      </c>
      <c r="T8" s="82">
        <v>1</v>
      </c>
      <c r="U8" s="121">
        <v>1</v>
      </c>
      <c r="V8" s="82">
        <v>0.9</v>
      </c>
      <c r="W8" s="82">
        <v>1</v>
      </c>
      <c r="X8" s="82">
        <v>1</v>
      </c>
      <c r="Y8" s="232">
        <f>+AVERAGE(N8:X8)</f>
        <v>0.91999999999999993</v>
      </c>
      <c r="Z8" s="222"/>
    </row>
    <row r="9" spans="1:26" ht="45">
      <c r="A9" s="319"/>
      <c r="B9" s="386"/>
      <c r="C9" s="81" t="s">
        <v>139</v>
      </c>
      <c r="D9" s="82">
        <v>0.12</v>
      </c>
      <c r="E9" s="81" t="s">
        <v>105</v>
      </c>
      <c r="F9" s="82">
        <v>1</v>
      </c>
      <c r="G9" s="85" t="s">
        <v>132</v>
      </c>
      <c r="H9" s="84">
        <v>43102</v>
      </c>
      <c r="I9" s="84">
        <v>43462</v>
      </c>
      <c r="J9" s="82">
        <v>0.15</v>
      </c>
      <c r="K9" s="82">
        <v>0.3</v>
      </c>
      <c r="L9" s="82">
        <v>0.6</v>
      </c>
      <c r="M9" s="82">
        <v>1</v>
      </c>
      <c r="N9" s="296">
        <v>0.99970000000000003</v>
      </c>
      <c r="O9" s="82">
        <v>0.66700000000000004</v>
      </c>
      <c r="P9" s="82">
        <f>2891696/2939635</f>
        <v>0.9836921930783924</v>
      </c>
      <c r="Q9" s="82">
        <v>0.94</v>
      </c>
      <c r="R9" s="82">
        <v>0.95730000000000004</v>
      </c>
      <c r="S9" s="121">
        <v>1</v>
      </c>
      <c r="T9" s="82">
        <v>0.92</v>
      </c>
      <c r="U9" s="278">
        <v>1</v>
      </c>
      <c r="V9" s="82">
        <v>0.85</v>
      </c>
      <c r="W9" s="82">
        <v>1</v>
      </c>
      <c r="X9" s="82">
        <v>0.95</v>
      </c>
      <c r="Y9" s="232">
        <f t="shared" ref="Y9:Y18" si="0">+AVERAGE(N9:X9)</f>
        <v>0.93342656300712645</v>
      </c>
      <c r="Z9" s="222"/>
    </row>
    <row r="10" spans="1:26" ht="120">
      <c r="A10" s="319"/>
      <c r="B10" s="386"/>
      <c r="C10" s="81" t="s">
        <v>142</v>
      </c>
      <c r="D10" s="82">
        <v>0.12</v>
      </c>
      <c r="E10" s="81" t="s">
        <v>105</v>
      </c>
      <c r="F10" s="82">
        <v>1</v>
      </c>
      <c r="G10" s="85" t="s">
        <v>133</v>
      </c>
      <c r="H10" s="84">
        <v>43102</v>
      </c>
      <c r="I10" s="84">
        <v>43462</v>
      </c>
      <c r="J10" s="82">
        <v>0.15</v>
      </c>
      <c r="K10" s="82">
        <v>0.3</v>
      </c>
      <c r="L10" s="82">
        <v>0.7</v>
      </c>
      <c r="M10" s="82">
        <v>1</v>
      </c>
      <c r="N10" s="122">
        <v>1</v>
      </c>
      <c r="O10" s="82">
        <v>1</v>
      </c>
      <c r="P10" s="82">
        <v>0.80825000000000002</v>
      </c>
      <c r="Q10" s="82">
        <v>1</v>
      </c>
      <c r="R10" s="82">
        <v>0.96</v>
      </c>
      <c r="S10" s="121">
        <v>1</v>
      </c>
      <c r="T10" s="82">
        <v>0.9</v>
      </c>
      <c r="U10" s="121">
        <v>1</v>
      </c>
      <c r="V10" s="82">
        <v>0.7</v>
      </c>
      <c r="W10" s="82">
        <v>1</v>
      </c>
      <c r="X10" s="82">
        <v>0.6</v>
      </c>
      <c r="Y10" s="232">
        <f t="shared" si="0"/>
        <v>0.90620454545454543</v>
      </c>
      <c r="Z10" s="222"/>
    </row>
    <row r="11" spans="1:26" ht="75">
      <c r="A11" s="319"/>
      <c r="B11" s="386"/>
      <c r="C11" s="81" t="s">
        <v>143</v>
      </c>
      <c r="D11" s="82">
        <v>0.12</v>
      </c>
      <c r="E11" s="81" t="s">
        <v>105</v>
      </c>
      <c r="F11" s="82">
        <v>1</v>
      </c>
      <c r="G11" s="85" t="s">
        <v>84</v>
      </c>
      <c r="H11" s="84">
        <v>43102</v>
      </c>
      <c r="I11" s="84">
        <v>43462</v>
      </c>
      <c r="J11" s="82">
        <v>0.15</v>
      </c>
      <c r="K11" s="82">
        <v>0.3</v>
      </c>
      <c r="L11" s="82">
        <v>0.7</v>
      </c>
      <c r="M11" s="82">
        <v>1</v>
      </c>
      <c r="N11" s="122">
        <v>1</v>
      </c>
      <c r="O11" s="82">
        <v>1</v>
      </c>
      <c r="P11" s="82">
        <v>1</v>
      </c>
      <c r="Q11" s="82">
        <v>1</v>
      </c>
      <c r="R11" s="82">
        <v>1</v>
      </c>
      <c r="S11" s="121">
        <v>1</v>
      </c>
      <c r="T11" s="82">
        <v>0.5</v>
      </c>
      <c r="U11" s="121">
        <v>1</v>
      </c>
      <c r="V11" s="82">
        <v>0.8</v>
      </c>
      <c r="W11" s="82">
        <v>1</v>
      </c>
      <c r="X11" s="82">
        <v>0.7</v>
      </c>
      <c r="Y11" s="232">
        <f t="shared" si="0"/>
        <v>0.90909090909090906</v>
      </c>
      <c r="Z11" s="222"/>
    </row>
    <row r="12" spans="1:26" ht="135">
      <c r="A12" s="319"/>
      <c r="B12" s="386"/>
      <c r="C12" s="81" t="s">
        <v>144</v>
      </c>
      <c r="D12" s="82">
        <v>0.05</v>
      </c>
      <c r="E12" s="81" t="s">
        <v>105</v>
      </c>
      <c r="F12" s="82">
        <v>1</v>
      </c>
      <c r="G12" s="85" t="s">
        <v>85</v>
      </c>
      <c r="H12" s="84">
        <v>43102</v>
      </c>
      <c r="I12" s="84">
        <v>43462</v>
      </c>
      <c r="J12" s="82">
        <v>0.25</v>
      </c>
      <c r="K12" s="82">
        <v>0.5</v>
      </c>
      <c r="L12" s="82">
        <v>0.75</v>
      </c>
      <c r="M12" s="82">
        <v>1</v>
      </c>
      <c r="N12" s="122">
        <v>1</v>
      </c>
      <c r="O12" s="82">
        <v>1</v>
      </c>
      <c r="P12" s="82">
        <v>1</v>
      </c>
      <c r="Q12" s="82">
        <v>1</v>
      </c>
      <c r="R12" s="82">
        <v>1</v>
      </c>
      <c r="S12" s="121">
        <v>1</v>
      </c>
      <c r="T12" s="82">
        <v>1</v>
      </c>
      <c r="U12" s="121">
        <v>1</v>
      </c>
      <c r="V12" s="82">
        <v>0.6</v>
      </c>
      <c r="W12" s="82">
        <v>1</v>
      </c>
      <c r="X12" s="82">
        <v>0.9</v>
      </c>
      <c r="Y12" s="232">
        <f t="shared" si="0"/>
        <v>0.95454545454545459</v>
      </c>
      <c r="Z12" s="222"/>
    </row>
    <row r="13" spans="1:26" ht="30">
      <c r="A13" s="319"/>
      <c r="B13" s="386"/>
      <c r="C13" s="81" t="s">
        <v>145</v>
      </c>
      <c r="D13" s="82">
        <v>0.04</v>
      </c>
      <c r="E13" s="81" t="s">
        <v>105</v>
      </c>
      <c r="F13" s="82">
        <v>1</v>
      </c>
      <c r="G13" s="85" t="s">
        <v>134</v>
      </c>
      <c r="H13" s="84">
        <v>43102</v>
      </c>
      <c r="I13" s="84">
        <v>43462</v>
      </c>
      <c r="J13" s="82">
        <v>1</v>
      </c>
      <c r="K13" s="82">
        <v>1</v>
      </c>
      <c r="L13" s="82">
        <v>1</v>
      </c>
      <c r="M13" s="82">
        <v>1</v>
      </c>
      <c r="N13" s="122">
        <v>1</v>
      </c>
      <c r="O13" s="82">
        <v>1</v>
      </c>
      <c r="P13" s="82">
        <v>1</v>
      </c>
      <c r="Q13" s="82">
        <v>1</v>
      </c>
      <c r="R13" s="82">
        <v>1</v>
      </c>
      <c r="S13" s="307"/>
      <c r="T13" s="82">
        <v>1</v>
      </c>
      <c r="U13" s="121">
        <v>1</v>
      </c>
      <c r="V13" s="82">
        <v>0.68</v>
      </c>
      <c r="W13" s="82">
        <v>1</v>
      </c>
      <c r="X13" s="82" t="s">
        <v>1050</v>
      </c>
      <c r="Y13" s="232">
        <f t="shared" si="0"/>
        <v>0.96444444444444444</v>
      </c>
      <c r="Z13" s="222"/>
    </row>
    <row r="14" spans="1:26" ht="104.25" customHeight="1">
      <c r="A14" s="319"/>
      <c r="B14" s="387" t="s">
        <v>86</v>
      </c>
      <c r="C14" s="81" t="s">
        <v>146</v>
      </c>
      <c r="D14" s="82">
        <v>0.04</v>
      </c>
      <c r="E14" s="81" t="s">
        <v>105</v>
      </c>
      <c r="F14" s="82">
        <v>1</v>
      </c>
      <c r="G14" s="85" t="s">
        <v>135</v>
      </c>
      <c r="H14" s="84">
        <v>43102</v>
      </c>
      <c r="I14" s="84">
        <v>43462</v>
      </c>
      <c r="J14" s="82">
        <v>0.1</v>
      </c>
      <c r="K14" s="82">
        <v>0.3</v>
      </c>
      <c r="L14" s="82">
        <v>0.7</v>
      </c>
      <c r="M14" s="82">
        <v>1</v>
      </c>
      <c r="N14" s="122">
        <v>0.81</v>
      </c>
      <c r="O14" s="82">
        <v>1</v>
      </c>
      <c r="P14" s="82">
        <v>1</v>
      </c>
      <c r="Q14" s="82">
        <v>1</v>
      </c>
      <c r="R14" s="82">
        <v>0.9</v>
      </c>
      <c r="S14" s="121">
        <v>0.92</v>
      </c>
      <c r="T14" s="82">
        <v>1</v>
      </c>
      <c r="U14" s="121">
        <v>1</v>
      </c>
      <c r="V14" s="82">
        <v>0.3</v>
      </c>
      <c r="W14" s="82">
        <v>1</v>
      </c>
      <c r="X14" s="82">
        <v>1</v>
      </c>
      <c r="Y14" s="232">
        <f t="shared" si="0"/>
        <v>0.90272727272727271</v>
      </c>
      <c r="Z14" s="222"/>
    </row>
    <row r="15" spans="1:26" ht="75">
      <c r="A15" s="319"/>
      <c r="B15" s="387"/>
      <c r="C15" s="81" t="s">
        <v>147</v>
      </c>
      <c r="D15" s="82">
        <v>0.05</v>
      </c>
      <c r="E15" s="81" t="s">
        <v>105</v>
      </c>
      <c r="F15" s="82">
        <v>1</v>
      </c>
      <c r="G15" s="85" t="s">
        <v>87</v>
      </c>
      <c r="H15" s="84">
        <v>43102</v>
      </c>
      <c r="I15" s="84">
        <v>43462</v>
      </c>
      <c r="J15" s="82">
        <v>0.15</v>
      </c>
      <c r="K15" s="82">
        <v>0.3</v>
      </c>
      <c r="L15" s="82">
        <v>0.7</v>
      </c>
      <c r="M15" s="82">
        <v>1</v>
      </c>
      <c r="N15" s="122">
        <v>1</v>
      </c>
      <c r="O15" s="121">
        <v>1</v>
      </c>
      <c r="P15" s="121">
        <v>1</v>
      </c>
      <c r="Q15" s="269">
        <v>1</v>
      </c>
      <c r="R15" s="121">
        <v>1</v>
      </c>
      <c r="S15" s="278">
        <v>1</v>
      </c>
      <c r="T15" s="122">
        <v>1</v>
      </c>
      <c r="U15" s="121">
        <v>1</v>
      </c>
      <c r="V15" s="122">
        <v>0</v>
      </c>
      <c r="W15" s="122">
        <v>1</v>
      </c>
      <c r="X15" s="122">
        <v>1</v>
      </c>
      <c r="Y15" s="232">
        <f t="shared" si="0"/>
        <v>0.90909090909090906</v>
      </c>
      <c r="Z15" s="222"/>
    </row>
    <row r="16" spans="1:26" ht="83.25" customHeight="1">
      <c r="A16" s="319"/>
      <c r="B16" s="387"/>
      <c r="C16" s="81" t="s">
        <v>148</v>
      </c>
      <c r="D16" s="82">
        <v>0.12</v>
      </c>
      <c r="E16" s="81" t="s">
        <v>105</v>
      </c>
      <c r="F16" s="82">
        <v>1</v>
      </c>
      <c r="G16" s="85" t="s">
        <v>88</v>
      </c>
      <c r="H16" s="84">
        <v>43102</v>
      </c>
      <c r="I16" s="84">
        <v>43462</v>
      </c>
      <c r="J16" s="82">
        <v>0.15</v>
      </c>
      <c r="K16" s="82">
        <v>0.4</v>
      </c>
      <c r="L16" s="82">
        <v>0.7</v>
      </c>
      <c r="M16" s="82">
        <v>1</v>
      </c>
      <c r="N16" s="122">
        <v>1</v>
      </c>
      <c r="O16" s="121">
        <v>1</v>
      </c>
      <c r="P16" s="121">
        <v>1</v>
      </c>
      <c r="Q16" s="269">
        <v>1</v>
      </c>
      <c r="R16" s="121">
        <v>1</v>
      </c>
      <c r="S16" s="121">
        <v>0.5</v>
      </c>
      <c r="T16" s="122">
        <v>1</v>
      </c>
      <c r="U16" s="121">
        <v>1</v>
      </c>
      <c r="V16" s="122">
        <v>1</v>
      </c>
      <c r="W16" s="122">
        <v>1</v>
      </c>
      <c r="X16" s="122">
        <v>1</v>
      </c>
      <c r="Y16" s="232">
        <f t="shared" si="0"/>
        <v>0.95454545454545459</v>
      </c>
      <c r="Z16" s="222"/>
    </row>
    <row r="17" spans="1:26" ht="59.25" customHeight="1">
      <c r="A17" s="319"/>
      <c r="B17" s="387"/>
      <c r="C17" s="81" t="s">
        <v>149</v>
      </c>
      <c r="D17" s="82">
        <v>0.05</v>
      </c>
      <c r="E17" s="81" t="s">
        <v>105</v>
      </c>
      <c r="F17" s="82">
        <v>1</v>
      </c>
      <c r="G17" s="86" t="s">
        <v>136</v>
      </c>
      <c r="H17" s="84">
        <v>43102</v>
      </c>
      <c r="I17" s="84">
        <v>43462</v>
      </c>
      <c r="J17" s="82">
        <v>0.25</v>
      </c>
      <c r="K17" s="82">
        <v>0.5</v>
      </c>
      <c r="L17" s="82">
        <v>0.75</v>
      </c>
      <c r="M17" s="82">
        <v>1</v>
      </c>
      <c r="N17" s="122">
        <v>1</v>
      </c>
      <c r="O17" s="121">
        <v>1</v>
      </c>
      <c r="P17" s="121">
        <v>1</v>
      </c>
      <c r="Q17" s="269">
        <v>1</v>
      </c>
      <c r="R17" s="121">
        <v>1</v>
      </c>
      <c r="S17" s="121">
        <v>1</v>
      </c>
      <c r="T17" s="122">
        <v>0.8</v>
      </c>
      <c r="U17" s="121">
        <v>1</v>
      </c>
      <c r="V17" s="122">
        <v>0.6</v>
      </c>
      <c r="W17" s="122">
        <v>1</v>
      </c>
      <c r="X17" s="122">
        <v>1</v>
      </c>
      <c r="Y17" s="232">
        <f t="shared" si="0"/>
        <v>0.94545454545454544</v>
      </c>
      <c r="Z17" s="222"/>
    </row>
    <row r="18" spans="1:26" ht="79.5" customHeight="1">
      <c r="A18" s="319"/>
      <c r="B18" s="387"/>
      <c r="C18" s="81" t="s">
        <v>150</v>
      </c>
      <c r="D18" s="82">
        <v>0.05</v>
      </c>
      <c r="E18" s="81" t="s">
        <v>105</v>
      </c>
      <c r="F18" s="82">
        <v>1</v>
      </c>
      <c r="G18" s="85" t="s">
        <v>140</v>
      </c>
      <c r="H18" s="84">
        <v>43102</v>
      </c>
      <c r="I18" s="84">
        <v>43462</v>
      </c>
      <c r="J18" s="82">
        <v>0.25</v>
      </c>
      <c r="K18" s="82">
        <v>0.5</v>
      </c>
      <c r="L18" s="82">
        <v>0.75</v>
      </c>
      <c r="M18" s="82">
        <v>1</v>
      </c>
      <c r="N18" s="122">
        <v>1</v>
      </c>
      <c r="O18" s="121">
        <v>1</v>
      </c>
      <c r="P18" s="121">
        <v>1</v>
      </c>
      <c r="Q18" s="269">
        <v>1</v>
      </c>
      <c r="R18" s="121">
        <v>1</v>
      </c>
      <c r="S18" s="121">
        <v>1</v>
      </c>
      <c r="T18" s="122">
        <v>0.75</v>
      </c>
      <c r="U18" s="121">
        <v>1</v>
      </c>
      <c r="V18" s="122">
        <v>0.75</v>
      </c>
      <c r="W18" s="122">
        <v>0.9</v>
      </c>
      <c r="X18" s="122">
        <v>1</v>
      </c>
      <c r="Y18" s="232">
        <f t="shared" si="0"/>
        <v>0.94545454545454544</v>
      </c>
      <c r="Z18" s="222"/>
    </row>
    <row r="19" spans="1:26" ht="105">
      <c r="A19" s="319"/>
      <c r="B19" s="387"/>
      <c r="C19" s="81" t="s">
        <v>151</v>
      </c>
      <c r="D19" s="82">
        <v>0.04</v>
      </c>
      <c r="E19" s="81" t="s">
        <v>105</v>
      </c>
      <c r="F19" s="82">
        <v>1</v>
      </c>
      <c r="G19" s="85" t="s">
        <v>91</v>
      </c>
      <c r="H19" s="84">
        <v>43102</v>
      </c>
      <c r="I19" s="84">
        <v>43462</v>
      </c>
      <c r="J19" s="82">
        <v>0.1</v>
      </c>
      <c r="K19" s="82">
        <v>0.3</v>
      </c>
      <c r="L19" s="82">
        <v>0.7</v>
      </c>
      <c r="M19" s="82">
        <v>1</v>
      </c>
      <c r="N19" s="121">
        <v>1</v>
      </c>
      <c r="O19" s="121">
        <v>1</v>
      </c>
      <c r="P19" s="121">
        <v>1</v>
      </c>
      <c r="Q19" s="269">
        <v>1</v>
      </c>
      <c r="R19" s="121">
        <v>1</v>
      </c>
      <c r="S19" s="121">
        <v>1</v>
      </c>
      <c r="T19" s="122">
        <v>1</v>
      </c>
      <c r="U19" s="121">
        <v>1</v>
      </c>
      <c r="V19" s="122">
        <v>0.5</v>
      </c>
      <c r="W19" s="122">
        <v>1</v>
      </c>
      <c r="X19" s="122">
        <v>1</v>
      </c>
      <c r="Y19" s="232">
        <f>+AVERAGE(N19:X19)</f>
        <v>0.95454545454545459</v>
      </c>
      <c r="Z19" s="224"/>
    </row>
    <row r="20" spans="1:26" ht="15.75">
      <c r="V20" s="239"/>
      <c r="W20" s="240"/>
      <c r="X20" s="270"/>
      <c r="Y20" s="238"/>
    </row>
    <row r="21" spans="1:26" ht="31.5">
      <c r="G21" s="230" t="s">
        <v>977</v>
      </c>
      <c r="H21" s="233"/>
      <c r="I21" s="233"/>
      <c r="J21" s="233"/>
      <c r="K21" s="233"/>
      <c r="L21" s="233"/>
      <c r="M21" s="233"/>
      <c r="N21" s="295">
        <f>+AVERAGE(N8:N19)</f>
        <v>0.98414166666666658</v>
      </c>
      <c r="O21" s="295">
        <f t="shared" ref="O21:X21" si="1">+AVERAGE(O8:O19)</f>
        <v>0.97224999999999995</v>
      </c>
      <c r="P21" s="295">
        <f t="shared" si="1"/>
        <v>0.98266184942319945</v>
      </c>
      <c r="Q21" s="295">
        <f t="shared" si="1"/>
        <v>0.9325</v>
      </c>
      <c r="R21" s="295">
        <f t="shared" si="1"/>
        <v>0.98227500000000001</v>
      </c>
      <c r="S21" s="295">
        <f t="shared" si="1"/>
        <v>0.94727272727272727</v>
      </c>
      <c r="T21" s="295">
        <f t="shared" si="1"/>
        <v>0.90583333333333338</v>
      </c>
      <c r="U21" s="295">
        <f t="shared" si="1"/>
        <v>1</v>
      </c>
      <c r="V21" s="295">
        <f t="shared" si="1"/>
        <v>0.64</v>
      </c>
      <c r="W21" s="295">
        <f t="shared" si="1"/>
        <v>0.9916666666666667</v>
      </c>
      <c r="X21" s="295">
        <f t="shared" si="1"/>
        <v>0.92272727272727273</v>
      </c>
      <c r="Y21" s="281">
        <f>AVERAGE(Y8:Y19)</f>
        <v>0.93329417486338839</v>
      </c>
    </row>
    <row r="22" spans="1:26" ht="31.5">
      <c r="G22" s="230" t="s">
        <v>980</v>
      </c>
      <c r="H22" s="233"/>
      <c r="I22" s="233"/>
      <c r="J22" s="233"/>
      <c r="K22" s="233"/>
      <c r="L22" s="227">
        <f>+AVERAGE(L8:L19)</f>
        <v>0.73333333333333339</v>
      </c>
      <c r="M22" s="227">
        <f>AVERAGE(M13:M19)</f>
        <v>1</v>
      </c>
      <c r="N22" s="233"/>
      <c r="O22" s="233"/>
      <c r="P22" s="233"/>
      <c r="Q22" s="233"/>
      <c r="R22" s="233"/>
      <c r="S22" s="233"/>
      <c r="T22" s="233"/>
      <c r="U22" s="233"/>
      <c r="V22" s="233"/>
      <c r="W22" s="233"/>
      <c r="X22" s="233"/>
    </row>
  </sheetData>
  <mergeCells count="16">
    <mergeCell ref="A4:Y4"/>
    <mergeCell ref="A8:A19"/>
    <mergeCell ref="B8:B13"/>
    <mergeCell ref="B14:B19"/>
    <mergeCell ref="A5:A7"/>
    <mergeCell ref="B5:B7"/>
    <mergeCell ref="H5:I5"/>
    <mergeCell ref="J5:M5"/>
    <mergeCell ref="H6:H7"/>
    <mergeCell ref="I6:I7"/>
    <mergeCell ref="C5:C7"/>
    <mergeCell ref="D5:D7"/>
    <mergeCell ref="E5:E7"/>
    <mergeCell ref="F5:F7"/>
    <mergeCell ref="G5:G7"/>
    <mergeCell ref="N5:Y6"/>
  </mergeCells>
  <pageMargins left="0.7" right="0.7" top="0.75" bottom="0.75" header="0.3" footer="0.3"/>
  <pageSetup scale="27"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80"/>
  </sheetPr>
  <dimension ref="A1:Z16"/>
  <sheetViews>
    <sheetView zoomScale="80" zoomScaleNormal="80" workbookViewId="0">
      <selection activeCell="T16" sqref="T16"/>
    </sheetView>
  </sheetViews>
  <sheetFormatPr baseColWidth="10" defaultColWidth="10.7109375" defaultRowHeight="12.75"/>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9" width="17.140625" hidden="1" customWidth="1"/>
    <col min="10" max="12" width="19.7109375" hidden="1" customWidth="1"/>
    <col min="13" max="13" width="20.85546875" customWidth="1"/>
    <col min="14" max="14" width="13" customWidth="1"/>
    <col min="15" max="21" width="13.28515625" customWidth="1"/>
    <col min="22" max="23" width="12" customWidth="1"/>
    <col min="25" max="25" width="12" customWidth="1"/>
    <col min="26" max="26" width="23.28515625" customWidth="1"/>
  </cols>
  <sheetData>
    <row r="1" spans="1:26" ht="40.5" customHeight="1"/>
    <row r="2" spans="1:26" ht="12.75" customHeight="1"/>
    <row r="4" spans="1:26" ht="33.75">
      <c r="A4" s="337" t="s">
        <v>512</v>
      </c>
      <c r="B4" s="338"/>
      <c r="C4" s="338"/>
      <c r="D4" s="338"/>
      <c r="E4" s="338"/>
      <c r="F4" s="338"/>
      <c r="G4" s="338"/>
      <c r="H4" s="338"/>
      <c r="I4" s="338"/>
      <c r="J4" s="338"/>
      <c r="K4" s="338"/>
      <c r="L4" s="338"/>
      <c r="M4" s="338"/>
      <c r="N4" s="338"/>
      <c r="O4" s="338"/>
      <c r="P4" s="338"/>
      <c r="Q4" s="338"/>
      <c r="R4" s="338"/>
      <c r="S4" s="338"/>
      <c r="T4" s="338"/>
      <c r="U4" s="338"/>
      <c r="V4" s="338"/>
      <c r="W4" s="338"/>
      <c r="X4" s="338"/>
      <c r="Y4" s="338"/>
    </row>
    <row r="5" spans="1:26" ht="30" customHeight="1">
      <c r="A5" s="326" t="s">
        <v>103</v>
      </c>
      <c r="B5" s="326" t="s">
        <v>74</v>
      </c>
      <c r="C5" s="326" t="s">
        <v>65</v>
      </c>
      <c r="D5" s="326" t="s">
        <v>66</v>
      </c>
      <c r="E5" s="326" t="s">
        <v>67</v>
      </c>
      <c r="F5" s="326" t="s">
        <v>68</v>
      </c>
      <c r="G5" s="326" t="s">
        <v>69</v>
      </c>
      <c r="H5" s="328" t="s">
        <v>70</v>
      </c>
      <c r="I5" s="328"/>
      <c r="J5" s="326" t="s">
        <v>79</v>
      </c>
      <c r="K5" s="326"/>
      <c r="L5" s="326"/>
      <c r="M5" s="326"/>
      <c r="N5" s="389" t="s">
        <v>558</v>
      </c>
      <c r="O5" s="389"/>
      <c r="P5" s="389"/>
      <c r="Q5" s="389"/>
      <c r="R5" s="389"/>
      <c r="S5" s="389"/>
      <c r="T5" s="389"/>
      <c r="U5" s="389"/>
      <c r="V5" s="389"/>
      <c r="W5" s="389"/>
      <c r="X5" s="389"/>
      <c r="Y5" s="389"/>
    </row>
    <row r="6" spans="1:26" ht="30" customHeight="1">
      <c r="A6" s="326"/>
      <c r="B6" s="326"/>
      <c r="C6" s="326"/>
      <c r="D6" s="326"/>
      <c r="E6" s="326"/>
      <c r="F6" s="326"/>
      <c r="G6" s="326"/>
      <c r="H6" s="326" t="s">
        <v>71</v>
      </c>
      <c r="I6" s="326" t="s">
        <v>72</v>
      </c>
      <c r="J6" s="116" t="s">
        <v>75</v>
      </c>
      <c r="K6" s="116" t="s">
        <v>76</v>
      </c>
      <c r="L6" s="116" t="s">
        <v>77</v>
      </c>
      <c r="M6" s="116" t="s">
        <v>78</v>
      </c>
      <c r="N6" s="389"/>
      <c r="O6" s="389"/>
      <c r="P6" s="389"/>
      <c r="Q6" s="389"/>
      <c r="R6" s="389"/>
      <c r="S6" s="389"/>
      <c r="T6" s="389"/>
      <c r="U6" s="389"/>
      <c r="V6" s="389"/>
      <c r="W6" s="389"/>
      <c r="X6" s="389"/>
      <c r="Y6" s="389"/>
    </row>
    <row r="7" spans="1:26" ht="36">
      <c r="A7" s="326"/>
      <c r="B7" s="326"/>
      <c r="C7" s="326"/>
      <c r="D7" s="326"/>
      <c r="E7" s="326"/>
      <c r="F7" s="326"/>
      <c r="G7" s="326"/>
      <c r="H7" s="326"/>
      <c r="I7" s="326"/>
      <c r="J7" s="117" t="s">
        <v>64</v>
      </c>
      <c r="K7" s="117" t="s">
        <v>64</v>
      </c>
      <c r="L7" s="117" t="s">
        <v>64</v>
      </c>
      <c r="M7" s="117" t="s">
        <v>64</v>
      </c>
      <c r="N7" s="184" t="s">
        <v>198</v>
      </c>
      <c r="O7" s="184" t="s">
        <v>349</v>
      </c>
      <c r="P7" s="184" t="s">
        <v>283</v>
      </c>
      <c r="Q7" s="184" t="s">
        <v>371</v>
      </c>
      <c r="R7" s="184" t="s">
        <v>380</v>
      </c>
      <c r="S7" s="184" t="s">
        <v>391</v>
      </c>
      <c r="T7" s="184" t="s">
        <v>487</v>
      </c>
      <c r="U7" s="184" t="s">
        <v>392</v>
      </c>
      <c r="V7" s="184" t="s">
        <v>555</v>
      </c>
      <c r="W7" s="184" t="s">
        <v>397</v>
      </c>
      <c r="X7" s="184" t="s">
        <v>556</v>
      </c>
      <c r="Y7" s="184" t="s">
        <v>557</v>
      </c>
    </row>
    <row r="8" spans="1:26" ht="78.75">
      <c r="A8" s="390" t="s">
        <v>59</v>
      </c>
      <c r="B8" s="391" t="s">
        <v>99</v>
      </c>
      <c r="C8" s="9" t="s">
        <v>137</v>
      </c>
      <c r="D8" s="18">
        <v>0.15</v>
      </c>
      <c r="E8" s="16" t="s">
        <v>121</v>
      </c>
      <c r="F8" s="21">
        <v>1</v>
      </c>
      <c r="G8" s="9" t="s">
        <v>122</v>
      </c>
      <c r="H8" s="23">
        <v>43101</v>
      </c>
      <c r="I8" s="17">
        <v>43131</v>
      </c>
      <c r="J8" s="10">
        <v>1</v>
      </c>
      <c r="K8" s="10">
        <v>1</v>
      </c>
      <c r="L8" s="10">
        <v>1</v>
      </c>
      <c r="M8" s="10">
        <v>1</v>
      </c>
      <c r="N8" s="297">
        <v>0.96850000000000003</v>
      </c>
      <c r="O8" s="10">
        <v>1</v>
      </c>
      <c r="P8" s="10">
        <v>1</v>
      </c>
      <c r="Q8" s="10">
        <v>1</v>
      </c>
      <c r="R8" s="10">
        <v>1</v>
      </c>
      <c r="S8" s="10">
        <v>1</v>
      </c>
      <c r="T8" s="253">
        <v>1</v>
      </c>
      <c r="U8" s="10">
        <v>1</v>
      </c>
      <c r="V8" s="274">
        <v>1</v>
      </c>
      <c r="W8" s="253">
        <v>1</v>
      </c>
      <c r="X8" s="274">
        <v>1</v>
      </c>
      <c r="Y8" s="227">
        <f t="shared" ref="Y8:Y13" si="0">+AVERAGE(N8:X8)</f>
        <v>0.99713636363636371</v>
      </c>
      <c r="Z8" s="223"/>
    </row>
    <row r="9" spans="1:26" ht="78.75">
      <c r="A9" s="390"/>
      <c r="B9" s="391"/>
      <c r="C9" s="9" t="s">
        <v>123</v>
      </c>
      <c r="D9" s="18">
        <v>0.15</v>
      </c>
      <c r="E9" s="16" t="s">
        <v>121</v>
      </c>
      <c r="F9" s="21">
        <v>1</v>
      </c>
      <c r="G9" s="9" t="s">
        <v>131</v>
      </c>
      <c r="H9" s="23">
        <v>43101</v>
      </c>
      <c r="I9" s="17">
        <v>43220</v>
      </c>
      <c r="J9" s="10">
        <v>0.8</v>
      </c>
      <c r="K9" s="10">
        <v>1</v>
      </c>
      <c r="L9" s="10">
        <v>1</v>
      </c>
      <c r="M9" s="10">
        <v>1</v>
      </c>
      <c r="N9" s="290">
        <v>1</v>
      </c>
      <c r="O9" s="10">
        <v>1</v>
      </c>
      <c r="P9" s="10">
        <v>1</v>
      </c>
      <c r="Q9" s="10">
        <v>0.85</v>
      </c>
      <c r="R9" s="253">
        <v>1</v>
      </c>
      <c r="S9" s="10">
        <v>1</v>
      </c>
      <c r="T9" s="253">
        <v>1</v>
      </c>
      <c r="U9" s="10">
        <v>1</v>
      </c>
      <c r="V9" s="274">
        <v>1</v>
      </c>
      <c r="W9" s="253">
        <v>1</v>
      </c>
      <c r="X9" s="274">
        <v>1</v>
      </c>
      <c r="Y9" s="227">
        <f t="shared" si="0"/>
        <v>0.98636363636363633</v>
      </c>
      <c r="Z9" s="223"/>
    </row>
    <row r="10" spans="1:26" ht="78.75">
      <c r="A10" s="390"/>
      <c r="B10" s="391"/>
      <c r="C10" s="9" t="s">
        <v>191</v>
      </c>
      <c r="D10" s="18">
        <v>0.3</v>
      </c>
      <c r="E10" s="16" t="s">
        <v>121</v>
      </c>
      <c r="F10" s="21">
        <v>1</v>
      </c>
      <c r="G10" s="9" t="s">
        <v>124</v>
      </c>
      <c r="H10" s="23">
        <v>43101</v>
      </c>
      <c r="I10" s="17">
        <v>43465</v>
      </c>
      <c r="J10" s="10">
        <v>0.25</v>
      </c>
      <c r="K10" s="10">
        <v>0.5</v>
      </c>
      <c r="L10" s="10">
        <v>0.75</v>
      </c>
      <c r="M10" s="10">
        <v>1</v>
      </c>
      <c r="N10" s="290">
        <v>1</v>
      </c>
      <c r="O10" s="10">
        <v>1</v>
      </c>
      <c r="P10" s="10">
        <v>1</v>
      </c>
      <c r="Q10" s="10">
        <v>1</v>
      </c>
      <c r="R10" s="10">
        <v>1</v>
      </c>
      <c r="S10" s="10">
        <v>1</v>
      </c>
      <c r="T10" s="253">
        <v>1</v>
      </c>
      <c r="U10" s="10">
        <v>1</v>
      </c>
      <c r="V10" s="274">
        <v>1</v>
      </c>
      <c r="W10" s="253">
        <v>1</v>
      </c>
      <c r="X10" s="274">
        <v>1</v>
      </c>
      <c r="Y10" s="227">
        <f t="shared" si="0"/>
        <v>1</v>
      </c>
      <c r="Z10" s="223"/>
    </row>
    <row r="11" spans="1:26" ht="73.5" customHeight="1">
      <c r="A11" s="390"/>
      <c r="B11" s="391"/>
      <c r="C11" s="9" t="s">
        <v>125</v>
      </c>
      <c r="D11" s="18">
        <v>0.15</v>
      </c>
      <c r="E11" s="16" t="s">
        <v>121</v>
      </c>
      <c r="F11" s="21">
        <v>1</v>
      </c>
      <c r="G11" s="9" t="s">
        <v>126</v>
      </c>
      <c r="H11" s="23">
        <v>43101</v>
      </c>
      <c r="I11" s="17">
        <v>43465</v>
      </c>
      <c r="J11" s="10">
        <v>0.33300000000000002</v>
      </c>
      <c r="K11" s="10">
        <v>0.33300000000000002</v>
      </c>
      <c r="L11" s="10">
        <v>0.66300000000000003</v>
      </c>
      <c r="M11" s="10">
        <v>1</v>
      </c>
      <c r="N11" s="290">
        <v>1</v>
      </c>
      <c r="O11" s="10">
        <v>1</v>
      </c>
      <c r="P11" s="10">
        <v>1</v>
      </c>
      <c r="Q11" s="10">
        <v>1</v>
      </c>
      <c r="R11" s="10">
        <v>1</v>
      </c>
      <c r="S11" s="10">
        <v>1</v>
      </c>
      <c r="T11" s="253">
        <v>1</v>
      </c>
      <c r="U11" s="10">
        <v>1</v>
      </c>
      <c r="V11" s="274">
        <v>0</v>
      </c>
      <c r="W11" s="253">
        <v>1</v>
      </c>
      <c r="X11" s="274">
        <v>1</v>
      </c>
      <c r="Y11" s="227">
        <f t="shared" si="0"/>
        <v>0.90909090909090906</v>
      </c>
      <c r="Z11" s="223"/>
    </row>
    <row r="12" spans="1:26" ht="47.25">
      <c r="A12" s="390"/>
      <c r="B12" s="391"/>
      <c r="C12" s="9" t="s">
        <v>127</v>
      </c>
      <c r="D12" s="18">
        <v>0.15</v>
      </c>
      <c r="E12" s="16" t="s">
        <v>121</v>
      </c>
      <c r="F12" s="21">
        <v>1</v>
      </c>
      <c r="G12" s="9" t="s">
        <v>128</v>
      </c>
      <c r="H12" s="23">
        <v>43101</v>
      </c>
      <c r="I12" s="17">
        <v>43465</v>
      </c>
      <c r="J12" s="10">
        <v>1</v>
      </c>
      <c r="K12" s="10">
        <v>1</v>
      </c>
      <c r="L12" s="10">
        <v>1</v>
      </c>
      <c r="M12" s="10">
        <v>1</v>
      </c>
      <c r="N12" s="290">
        <v>1</v>
      </c>
      <c r="O12" s="273">
        <v>1</v>
      </c>
      <c r="P12" s="273">
        <v>1</v>
      </c>
      <c r="Q12" s="10">
        <v>1</v>
      </c>
      <c r="R12" s="10">
        <v>1</v>
      </c>
      <c r="S12" s="10">
        <v>1</v>
      </c>
      <c r="T12" s="253">
        <v>1</v>
      </c>
      <c r="U12" s="10">
        <v>1</v>
      </c>
      <c r="V12" s="274">
        <v>1</v>
      </c>
      <c r="W12" s="253">
        <v>1</v>
      </c>
      <c r="X12" s="274">
        <v>1</v>
      </c>
      <c r="Y12" s="227">
        <f t="shared" si="0"/>
        <v>1</v>
      </c>
      <c r="Z12" s="223"/>
    </row>
    <row r="13" spans="1:26" ht="47.25">
      <c r="A13" s="390"/>
      <c r="B13" s="391"/>
      <c r="C13" s="9" t="s">
        <v>129</v>
      </c>
      <c r="D13" s="18">
        <v>0.1</v>
      </c>
      <c r="E13" s="16" t="s">
        <v>121</v>
      </c>
      <c r="F13" s="21">
        <v>1</v>
      </c>
      <c r="G13" s="9" t="s">
        <v>130</v>
      </c>
      <c r="H13" s="23">
        <v>43101</v>
      </c>
      <c r="I13" s="17">
        <v>43465</v>
      </c>
      <c r="J13" s="10">
        <v>0</v>
      </c>
      <c r="K13" s="10">
        <v>0.5</v>
      </c>
      <c r="L13" s="10">
        <v>0.5</v>
      </c>
      <c r="M13" s="10">
        <v>1</v>
      </c>
      <c r="N13" s="290">
        <v>1</v>
      </c>
      <c r="O13" s="10">
        <v>1</v>
      </c>
      <c r="P13" s="10">
        <v>1</v>
      </c>
      <c r="Q13" s="253">
        <v>0.75</v>
      </c>
      <c r="R13" s="10">
        <v>0.98</v>
      </c>
      <c r="S13" s="10">
        <v>1</v>
      </c>
      <c r="T13" s="253">
        <v>1</v>
      </c>
      <c r="U13" s="10">
        <v>1</v>
      </c>
      <c r="V13" s="274">
        <v>1</v>
      </c>
      <c r="W13" s="253">
        <v>1</v>
      </c>
      <c r="X13" s="274">
        <v>1</v>
      </c>
      <c r="Y13" s="227">
        <f t="shared" si="0"/>
        <v>0.97545454545454546</v>
      </c>
      <c r="Z13" s="223"/>
    </row>
    <row r="15" spans="1:26" ht="31.5">
      <c r="G15" s="230" t="s">
        <v>977</v>
      </c>
      <c r="H15" s="233"/>
      <c r="I15" s="233"/>
      <c r="J15" s="233"/>
      <c r="K15" s="233"/>
      <c r="L15" s="233"/>
      <c r="M15" s="233"/>
      <c r="N15" s="295">
        <f>+AVERAGE(N8:N13)</f>
        <v>0.99475000000000013</v>
      </c>
      <c r="O15" s="295">
        <f t="shared" ref="O15:X15" si="1">+AVERAGE(O8:O13)</f>
        <v>1</v>
      </c>
      <c r="P15" s="295">
        <f t="shared" si="1"/>
        <v>1</v>
      </c>
      <c r="Q15" s="295">
        <f t="shared" si="1"/>
        <v>0.93333333333333324</v>
      </c>
      <c r="R15" s="295">
        <f t="shared" si="1"/>
        <v>0.9966666666666667</v>
      </c>
      <c r="S15" s="295">
        <f t="shared" si="1"/>
        <v>1</v>
      </c>
      <c r="T15" s="295">
        <f t="shared" si="1"/>
        <v>1</v>
      </c>
      <c r="U15" s="295">
        <f t="shared" si="1"/>
        <v>1</v>
      </c>
      <c r="V15" s="295">
        <f t="shared" si="1"/>
        <v>0.83333333333333337</v>
      </c>
      <c r="W15" s="295">
        <f t="shared" si="1"/>
        <v>1</v>
      </c>
      <c r="X15" s="295">
        <f t="shared" si="1"/>
        <v>1</v>
      </c>
      <c r="Y15" s="281">
        <f>AVERAGE(Y8:Y13)</f>
        <v>0.9780075757575758</v>
      </c>
    </row>
    <row r="16" spans="1:26" ht="31.5">
      <c r="G16" s="230" t="s">
        <v>981</v>
      </c>
      <c r="H16" s="233"/>
      <c r="I16" s="233"/>
      <c r="J16" s="233"/>
      <c r="K16" s="233"/>
      <c r="L16" s="227">
        <f>+AVERAGE(L8:L13)</f>
        <v>0.81883333333333341</v>
      </c>
      <c r="M16" s="227">
        <f>+AVERAGE(M8:M13)</f>
        <v>1</v>
      </c>
      <c r="N16" s="233"/>
      <c r="O16" s="233"/>
      <c r="P16" s="233"/>
      <c r="Q16" s="233"/>
      <c r="R16" s="233"/>
      <c r="S16" s="233"/>
      <c r="T16" s="233"/>
      <c r="U16" s="233"/>
      <c r="V16" s="233"/>
      <c r="W16" s="233"/>
      <c r="X16" s="233"/>
    </row>
  </sheetData>
  <mergeCells count="15">
    <mergeCell ref="N5:Y6"/>
    <mergeCell ref="A4:Y4"/>
    <mergeCell ref="J5:M5"/>
    <mergeCell ref="A8:A13"/>
    <mergeCell ref="B8:B13"/>
    <mergeCell ref="H6:H7"/>
    <mergeCell ref="I6:I7"/>
    <mergeCell ref="A5:A7"/>
    <mergeCell ref="B5:B7"/>
    <mergeCell ref="C5:C7"/>
    <mergeCell ref="D5:D7"/>
    <mergeCell ref="E5:E7"/>
    <mergeCell ref="F5:F7"/>
    <mergeCell ref="G5:G7"/>
    <mergeCell ref="H5:I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80"/>
  </sheetPr>
  <dimension ref="A1:Z20"/>
  <sheetViews>
    <sheetView zoomScale="60" zoomScaleNormal="60" workbookViewId="0">
      <selection activeCell="P14" sqref="P14"/>
    </sheetView>
  </sheetViews>
  <sheetFormatPr baseColWidth="10" defaultColWidth="10.7109375" defaultRowHeight="12.75"/>
  <cols>
    <col min="1" max="1" width="24.7109375" customWidth="1"/>
    <col min="2" max="2" width="23.7109375" customWidth="1"/>
    <col min="3" max="3" width="24" customWidth="1"/>
    <col min="4" max="4" width="15.5703125" customWidth="1"/>
    <col min="5" max="5" width="14" customWidth="1"/>
    <col min="7" max="7" width="42.140625" customWidth="1"/>
    <col min="8" max="9" width="15.7109375" hidden="1" customWidth="1"/>
    <col min="10" max="12" width="17.5703125" hidden="1" customWidth="1"/>
    <col min="13" max="13" width="23.5703125" customWidth="1"/>
    <col min="14" max="14" width="16.140625" customWidth="1"/>
    <col min="15" max="15" width="16.42578125" customWidth="1"/>
    <col min="16" max="16" width="15.28515625" customWidth="1"/>
    <col min="17" max="17" width="14.7109375" customWidth="1"/>
    <col min="18" max="18" width="13.7109375" customWidth="1"/>
    <col min="19" max="19" width="15.140625" customWidth="1"/>
    <col min="20" max="20" width="13.140625" customWidth="1"/>
    <col min="21" max="21" width="15" customWidth="1"/>
    <col min="22" max="22" width="11.85546875" customWidth="1"/>
    <col min="23" max="23" width="16" customWidth="1"/>
    <col min="24" max="24" width="13.140625" customWidth="1"/>
    <col min="25" max="25" width="14.140625" customWidth="1"/>
    <col min="26" max="26" width="28.42578125" customWidth="1"/>
  </cols>
  <sheetData>
    <row r="1" spans="1:26" ht="24" customHeight="1"/>
    <row r="2" spans="1:26" ht="24" customHeight="1"/>
    <row r="4" spans="1:26" ht="33.75">
      <c r="A4" s="337" t="s">
        <v>512</v>
      </c>
      <c r="B4" s="338"/>
      <c r="C4" s="338"/>
      <c r="D4" s="338"/>
      <c r="E4" s="338"/>
      <c r="F4" s="338"/>
      <c r="G4" s="338"/>
      <c r="H4" s="338"/>
      <c r="I4" s="338"/>
      <c r="J4" s="338"/>
      <c r="K4" s="338"/>
      <c r="L4" s="338"/>
      <c r="M4" s="338"/>
      <c r="N4" s="338"/>
      <c r="O4" s="338"/>
      <c r="P4" s="338"/>
      <c r="Q4" s="338"/>
      <c r="R4" s="338"/>
      <c r="S4" s="338"/>
      <c r="T4" s="338"/>
      <c r="U4" s="338"/>
      <c r="V4" s="338"/>
      <c r="W4" s="338"/>
      <c r="X4" s="338"/>
      <c r="Y4" s="338"/>
    </row>
    <row r="5" spans="1:26" ht="36.75" customHeight="1">
      <c r="A5" s="339" t="s">
        <v>103</v>
      </c>
      <c r="B5" s="339" t="s">
        <v>74</v>
      </c>
      <c r="C5" s="339" t="s">
        <v>65</v>
      </c>
      <c r="D5" s="339" t="s">
        <v>66</v>
      </c>
      <c r="E5" s="339" t="s">
        <v>67</v>
      </c>
      <c r="F5" s="339" t="s">
        <v>68</v>
      </c>
      <c r="G5" s="339" t="s">
        <v>69</v>
      </c>
      <c r="H5" s="341" t="s">
        <v>70</v>
      </c>
      <c r="I5" s="341"/>
      <c r="J5" s="339" t="s">
        <v>79</v>
      </c>
      <c r="K5" s="339"/>
      <c r="L5" s="339"/>
      <c r="M5" s="339"/>
      <c r="N5" s="317" t="s">
        <v>558</v>
      </c>
      <c r="O5" s="317"/>
      <c r="P5" s="317"/>
      <c r="Q5" s="317"/>
      <c r="R5" s="317"/>
      <c r="S5" s="317"/>
      <c r="T5" s="317"/>
      <c r="U5" s="317"/>
      <c r="V5" s="317"/>
      <c r="W5" s="317"/>
      <c r="X5" s="317"/>
      <c r="Y5" s="317"/>
    </row>
    <row r="6" spans="1:26" ht="30" customHeight="1">
      <c r="A6" s="339"/>
      <c r="B6" s="339"/>
      <c r="C6" s="339"/>
      <c r="D6" s="339"/>
      <c r="E6" s="339"/>
      <c r="F6" s="339"/>
      <c r="G6" s="339"/>
      <c r="H6" s="332" t="s">
        <v>71</v>
      </c>
      <c r="I6" s="332" t="s">
        <v>72</v>
      </c>
      <c r="J6" s="15" t="s">
        <v>75</v>
      </c>
      <c r="K6" s="15" t="s">
        <v>76</v>
      </c>
      <c r="L6" s="15" t="s">
        <v>77</v>
      </c>
      <c r="M6" s="15" t="s">
        <v>78</v>
      </c>
      <c r="N6" s="317"/>
      <c r="O6" s="317"/>
      <c r="P6" s="317"/>
      <c r="Q6" s="317"/>
      <c r="R6" s="317"/>
      <c r="S6" s="317"/>
      <c r="T6" s="317"/>
      <c r="U6" s="317"/>
      <c r="V6" s="317"/>
      <c r="W6" s="317"/>
      <c r="X6" s="317"/>
      <c r="Y6" s="317"/>
    </row>
    <row r="7" spans="1:26" ht="54.75" customHeight="1">
      <c r="A7" s="339"/>
      <c r="B7" s="339"/>
      <c r="C7" s="339"/>
      <c r="D7" s="339"/>
      <c r="E7" s="339"/>
      <c r="F7" s="339"/>
      <c r="G7" s="339"/>
      <c r="H7" s="332"/>
      <c r="I7" s="332"/>
      <c r="J7" s="55" t="s">
        <v>64</v>
      </c>
      <c r="K7" s="55" t="s">
        <v>64</v>
      </c>
      <c r="L7" s="55" t="s">
        <v>64</v>
      </c>
      <c r="M7" s="55" t="s">
        <v>64</v>
      </c>
      <c r="N7" s="184" t="s">
        <v>198</v>
      </c>
      <c r="O7" s="184" t="s">
        <v>349</v>
      </c>
      <c r="P7" s="184" t="s">
        <v>283</v>
      </c>
      <c r="Q7" s="184" t="s">
        <v>371</v>
      </c>
      <c r="R7" s="184" t="s">
        <v>380</v>
      </c>
      <c r="S7" s="184" t="s">
        <v>391</v>
      </c>
      <c r="T7" s="184" t="s">
        <v>487</v>
      </c>
      <c r="U7" s="184" t="s">
        <v>392</v>
      </c>
      <c r="V7" s="184" t="s">
        <v>555</v>
      </c>
      <c r="W7" s="184" t="s">
        <v>397</v>
      </c>
      <c r="X7" s="184" t="s">
        <v>556</v>
      </c>
      <c r="Y7" s="184" t="s">
        <v>557</v>
      </c>
    </row>
    <row r="8" spans="1:26" ht="84.75" customHeight="1">
      <c r="A8" s="319" t="s">
        <v>61</v>
      </c>
      <c r="B8" s="318" t="s">
        <v>92</v>
      </c>
      <c r="C8" s="88" t="s">
        <v>194</v>
      </c>
      <c r="D8" s="18">
        <v>0.1</v>
      </c>
      <c r="E8" s="18" t="s">
        <v>159</v>
      </c>
      <c r="F8" s="16">
        <v>1</v>
      </c>
      <c r="G8" s="394" t="s">
        <v>192</v>
      </c>
      <c r="H8" s="23">
        <v>43101</v>
      </c>
      <c r="I8" s="17">
        <v>43190</v>
      </c>
      <c r="J8" s="24">
        <v>1</v>
      </c>
      <c r="K8" s="24">
        <v>1</v>
      </c>
      <c r="L8" s="24">
        <v>1</v>
      </c>
      <c r="M8" s="24">
        <v>1</v>
      </c>
      <c r="N8" s="298">
        <v>1</v>
      </c>
      <c r="O8" s="10">
        <v>1</v>
      </c>
      <c r="P8" s="10">
        <v>1</v>
      </c>
      <c r="Q8" s="275">
        <v>1</v>
      </c>
      <c r="R8" s="275">
        <v>1</v>
      </c>
      <c r="S8" s="10">
        <v>1</v>
      </c>
      <c r="T8" s="253">
        <v>1</v>
      </c>
      <c r="U8" s="271">
        <v>1</v>
      </c>
      <c r="V8" s="283">
        <v>1</v>
      </c>
      <c r="W8" s="253">
        <v>1</v>
      </c>
      <c r="X8" s="253">
        <v>1</v>
      </c>
      <c r="Y8" s="234">
        <f>+AVERAGE(N8:X8)</f>
        <v>1</v>
      </c>
      <c r="Z8" s="223"/>
    </row>
    <row r="9" spans="1:26" ht="77.25" customHeight="1">
      <c r="A9" s="319"/>
      <c r="B9" s="318"/>
      <c r="C9" s="88" t="s">
        <v>195</v>
      </c>
      <c r="D9" s="18">
        <v>0.1</v>
      </c>
      <c r="E9" s="16" t="s">
        <v>105</v>
      </c>
      <c r="F9" s="21">
        <v>1</v>
      </c>
      <c r="G9" s="394"/>
      <c r="H9" s="23">
        <v>43191</v>
      </c>
      <c r="I9" s="17">
        <v>43465</v>
      </c>
      <c r="J9" s="12">
        <v>0</v>
      </c>
      <c r="K9" s="24">
        <v>0.3</v>
      </c>
      <c r="L9" s="24">
        <v>0.4</v>
      </c>
      <c r="M9" s="24">
        <v>1</v>
      </c>
      <c r="N9" s="298">
        <v>1</v>
      </c>
      <c r="O9" s="10">
        <v>0.4</v>
      </c>
      <c r="P9" s="10">
        <v>1</v>
      </c>
      <c r="Q9" s="275">
        <v>1</v>
      </c>
      <c r="R9" s="10">
        <v>1</v>
      </c>
      <c r="S9" s="10">
        <v>1</v>
      </c>
      <c r="T9" s="253">
        <v>0.5</v>
      </c>
      <c r="U9" s="24">
        <v>0.4</v>
      </c>
      <c r="V9" s="283">
        <v>1</v>
      </c>
      <c r="W9" s="253">
        <v>0.4</v>
      </c>
      <c r="X9" s="253">
        <v>1</v>
      </c>
      <c r="Y9" s="234">
        <f t="shared" ref="Y9:Y17" si="0">+AVERAGE(N9:X9)</f>
        <v>0.79090909090909101</v>
      </c>
      <c r="Z9" s="223"/>
    </row>
    <row r="10" spans="1:26" ht="89.25" customHeight="1">
      <c r="A10" s="319"/>
      <c r="B10" s="318"/>
      <c r="C10" s="21" t="s">
        <v>154</v>
      </c>
      <c r="D10" s="18">
        <v>0.08</v>
      </c>
      <c r="E10" s="18" t="s">
        <v>159</v>
      </c>
      <c r="F10" s="16">
        <v>4</v>
      </c>
      <c r="G10" s="8" t="s">
        <v>155</v>
      </c>
      <c r="H10" s="23">
        <v>43101</v>
      </c>
      <c r="I10" s="17">
        <v>43465</v>
      </c>
      <c r="J10" s="24">
        <v>1</v>
      </c>
      <c r="K10" s="24">
        <v>1</v>
      </c>
      <c r="L10" s="24">
        <v>1</v>
      </c>
      <c r="M10" s="24">
        <v>1</v>
      </c>
      <c r="N10" s="298">
        <v>1</v>
      </c>
      <c r="O10" s="10">
        <v>1</v>
      </c>
      <c r="P10" s="10">
        <v>0.5</v>
      </c>
      <c r="Q10" s="119">
        <v>1</v>
      </c>
      <c r="R10" s="119">
        <v>1</v>
      </c>
      <c r="S10" s="10">
        <v>1</v>
      </c>
      <c r="T10" s="253">
        <v>1</v>
      </c>
      <c r="U10" s="271">
        <v>1</v>
      </c>
      <c r="V10" s="283">
        <v>0</v>
      </c>
      <c r="W10" s="253">
        <v>1</v>
      </c>
      <c r="X10" s="253">
        <v>1</v>
      </c>
      <c r="Y10" s="234">
        <f t="shared" si="0"/>
        <v>0.86363636363636365</v>
      </c>
      <c r="Z10" s="225"/>
    </row>
    <row r="11" spans="1:26" ht="96" customHeight="1">
      <c r="A11" s="319"/>
      <c r="B11" s="318"/>
      <c r="C11" s="21" t="s">
        <v>156</v>
      </c>
      <c r="D11" s="18">
        <v>0.2</v>
      </c>
      <c r="E11" s="16" t="s">
        <v>105</v>
      </c>
      <c r="F11" s="21">
        <v>1</v>
      </c>
      <c r="G11" s="19" t="s">
        <v>157</v>
      </c>
      <c r="H11" s="23">
        <v>43101</v>
      </c>
      <c r="I11" s="17">
        <v>43465</v>
      </c>
      <c r="J11" s="24">
        <v>1</v>
      </c>
      <c r="K11" s="24">
        <v>1</v>
      </c>
      <c r="L11" s="24">
        <v>1</v>
      </c>
      <c r="M11" s="24">
        <v>1</v>
      </c>
      <c r="N11" s="299">
        <v>1</v>
      </c>
      <c r="O11" s="10">
        <v>1</v>
      </c>
      <c r="P11" s="10">
        <v>1</v>
      </c>
      <c r="Q11" s="119">
        <v>1</v>
      </c>
      <c r="R11" s="119">
        <v>1</v>
      </c>
      <c r="S11" s="10">
        <v>1</v>
      </c>
      <c r="T11" s="120">
        <v>0.95</v>
      </c>
      <c r="U11" s="119">
        <v>1</v>
      </c>
      <c r="V11" s="120">
        <v>0.8</v>
      </c>
      <c r="W11" s="120">
        <v>1</v>
      </c>
      <c r="X11" s="120">
        <v>1</v>
      </c>
      <c r="Y11" s="234">
        <f t="shared" si="0"/>
        <v>0.97727272727272729</v>
      </c>
      <c r="Z11" s="223"/>
    </row>
    <row r="12" spans="1:26" ht="63" customHeight="1">
      <c r="A12" s="319"/>
      <c r="B12" s="318"/>
      <c r="C12" s="21" t="s">
        <v>158</v>
      </c>
      <c r="D12" s="18">
        <v>0.1</v>
      </c>
      <c r="E12" s="18" t="s">
        <v>159</v>
      </c>
      <c r="F12" s="16">
        <v>1</v>
      </c>
      <c r="G12" s="19" t="s">
        <v>93</v>
      </c>
      <c r="H12" s="23">
        <v>43101</v>
      </c>
      <c r="I12" s="17">
        <v>43465</v>
      </c>
      <c r="J12" s="24">
        <v>1</v>
      </c>
      <c r="K12" s="24">
        <v>1</v>
      </c>
      <c r="L12" s="24">
        <v>1</v>
      </c>
      <c r="M12" s="24">
        <v>1</v>
      </c>
      <c r="N12" s="298">
        <v>1</v>
      </c>
      <c r="O12" s="10">
        <v>1</v>
      </c>
      <c r="P12" s="10">
        <v>1</v>
      </c>
      <c r="Q12" s="119">
        <v>1</v>
      </c>
      <c r="R12" s="119">
        <v>1</v>
      </c>
      <c r="S12" s="308">
        <v>0.25</v>
      </c>
      <c r="T12" s="276">
        <v>1</v>
      </c>
      <c r="U12" s="255">
        <v>0</v>
      </c>
      <c r="V12" s="276">
        <v>0</v>
      </c>
      <c r="W12" s="276">
        <v>1</v>
      </c>
      <c r="X12" s="276">
        <v>1</v>
      </c>
      <c r="Y12" s="234">
        <f t="shared" si="0"/>
        <v>0.75</v>
      </c>
      <c r="Z12" s="223"/>
    </row>
    <row r="13" spans="1:26" ht="59.25" customHeight="1">
      <c r="A13" s="319"/>
      <c r="B13" s="318"/>
      <c r="C13" s="21" t="s">
        <v>152</v>
      </c>
      <c r="D13" s="18">
        <v>0.06</v>
      </c>
      <c r="E13" s="18" t="s">
        <v>159</v>
      </c>
      <c r="F13" s="16">
        <v>1</v>
      </c>
      <c r="G13" s="392" t="s">
        <v>94</v>
      </c>
      <c r="H13" s="23">
        <v>43101</v>
      </c>
      <c r="I13" s="17">
        <v>43190</v>
      </c>
      <c r="J13" s="24">
        <v>1</v>
      </c>
      <c r="K13" s="24">
        <v>1</v>
      </c>
      <c r="L13" s="24">
        <v>1</v>
      </c>
      <c r="M13" s="24">
        <v>1</v>
      </c>
      <c r="N13" s="298">
        <v>1</v>
      </c>
      <c r="O13" s="10">
        <v>1</v>
      </c>
      <c r="P13" s="10">
        <v>1</v>
      </c>
      <c r="Q13" s="119">
        <v>1</v>
      </c>
      <c r="R13" s="119">
        <v>1</v>
      </c>
      <c r="S13" s="24">
        <v>1</v>
      </c>
      <c r="T13" s="120">
        <v>1</v>
      </c>
      <c r="U13" s="120">
        <v>1</v>
      </c>
      <c r="V13" s="120">
        <v>1</v>
      </c>
      <c r="W13" s="120">
        <v>1</v>
      </c>
      <c r="X13" s="120">
        <v>1</v>
      </c>
      <c r="Y13" s="234">
        <f t="shared" si="0"/>
        <v>1</v>
      </c>
      <c r="Z13" s="222"/>
    </row>
    <row r="14" spans="1:26" ht="45.75" customHeight="1">
      <c r="A14" s="319"/>
      <c r="B14" s="318"/>
      <c r="C14" s="21" t="s">
        <v>153</v>
      </c>
      <c r="D14" s="18">
        <v>0.06</v>
      </c>
      <c r="E14" s="16" t="s">
        <v>105</v>
      </c>
      <c r="F14" s="21">
        <v>1</v>
      </c>
      <c r="G14" s="392"/>
      <c r="H14" s="23">
        <v>43191</v>
      </c>
      <c r="I14" s="17">
        <v>43465</v>
      </c>
      <c r="J14" s="12">
        <v>0</v>
      </c>
      <c r="K14" s="24">
        <v>0.3</v>
      </c>
      <c r="L14" s="24">
        <v>0.4</v>
      </c>
      <c r="M14" s="24">
        <v>1</v>
      </c>
      <c r="N14" s="298">
        <v>0.4</v>
      </c>
      <c r="O14" s="10">
        <v>0.4</v>
      </c>
      <c r="P14" s="10" t="s">
        <v>1053</v>
      </c>
      <c r="Q14" s="10">
        <v>1</v>
      </c>
      <c r="R14" s="10">
        <v>1</v>
      </c>
      <c r="S14" s="24">
        <v>0.87</v>
      </c>
      <c r="T14" s="253">
        <v>0.8</v>
      </c>
      <c r="U14" s="10">
        <v>0.4</v>
      </c>
      <c r="V14" s="283">
        <v>0.9</v>
      </c>
      <c r="W14" s="253">
        <v>0.4</v>
      </c>
      <c r="X14" s="253">
        <v>1</v>
      </c>
      <c r="Y14" s="234">
        <f t="shared" si="0"/>
        <v>0.71700000000000008</v>
      </c>
      <c r="Z14" s="222"/>
    </row>
    <row r="15" spans="1:26" ht="63" customHeight="1">
      <c r="A15" s="319"/>
      <c r="B15" s="318"/>
      <c r="C15" s="21" t="s">
        <v>992</v>
      </c>
      <c r="D15" s="18">
        <v>0.1</v>
      </c>
      <c r="E15" s="16" t="s">
        <v>105</v>
      </c>
      <c r="F15" s="21">
        <v>1</v>
      </c>
      <c r="G15" s="19" t="s">
        <v>95</v>
      </c>
      <c r="H15" s="23">
        <v>43101</v>
      </c>
      <c r="I15" s="17">
        <v>43465</v>
      </c>
      <c r="J15" s="24">
        <v>1</v>
      </c>
      <c r="K15" s="24">
        <v>1</v>
      </c>
      <c r="L15" s="24">
        <v>1</v>
      </c>
      <c r="M15" s="24">
        <v>1</v>
      </c>
      <c r="N15" s="299">
        <v>0.96</v>
      </c>
      <c r="O15" s="10">
        <v>1</v>
      </c>
      <c r="P15" s="10">
        <v>1</v>
      </c>
      <c r="Q15" s="119">
        <v>1</v>
      </c>
      <c r="R15" s="119">
        <v>1</v>
      </c>
      <c r="S15" s="119">
        <v>1</v>
      </c>
      <c r="T15" s="120">
        <v>1</v>
      </c>
      <c r="U15" s="119">
        <v>1</v>
      </c>
      <c r="V15" s="120">
        <v>1</v>
      </c>
      <c r="W15" s="120">
        <v>1</v>
      </c>
      <c r="X15" s="120">
        <v>1</v>
      </c>
      <c r="Y15" s="234">
        <f t="shared" si="0"/>
        <v>0.99636363636363645</v>
      </c>
      <c r="Z15" s="222"/>
    </row>
    <row r="16" spans="1:26" ht="77.25" customHeight="1">
      <c r="A16" s="319"/>
      <c r="B16" s="393" t="s">
        <v>97</v>
      </c>
      <c r="C16" s="21" t="s">
        <v>152</v>
      </c>
      <c r="D16" s="18">
        <v>0.1</v>
      </c>
      <c r="E16" s="18" t="s">
        <v>159</v>
      </c>
      <c r="F16" s="16">
        <v>1</v>
      </c>
      <c r="G16" s="392" t="s">
        <v>96</v>
      </c>
      <c r="H16" s="23">
        <v>43101</v>
      </c>
      <c r="I16" s="17">
        <v>43190</v>
      </c>
      <c r="J16" s="24">
        <v>1</v>
      </c>
      <c r="K16" s="24">
        <v>1</v>
      </c>
      <c r="L16" s="24">
        <v>1</v>
      </c>
      <c r="M16" s="24">
        <v>1</v>
      </c>
      <c r="N16" s="299">
        <v>1</v>
      </c>
      <c r="O16" s="10">
        <v>1</v>
      </c>
      <c r="P16" s="10">
        <v>1</v>
      </c>
      <c r="Q16" s="119">
        <v>1</v>
      </c>
      <c r="R16" s="253">
        <v>1</v>
      </c>
      <c r="S16" s="119">
        <v>1</v>
      </c>
      <c r="T16" s="253">
        <v>1</v>
      </c>
      <c r="U16" s="271">
        <v>1</v>
      </c>
      <c r="V16" s="283">
        <v>0</v>
      </c>
      <c r="W16" s="253">
        <v>1</v>
      </c>
      <c r="X16" s="253">
        <v>1</v>
      </c>
      <c r="Y16" s="234">
        <f t="shared" si="0"/>
        <v>0.90909090909090906</v>
      </c>
      <c r="Z16" s="222"/>
    </row>
    <row r="17" spans="1:26" ht="70.5" customHeight="1">
      <c r="A17" s="319"/>
      <c r="B17" s="393"/>
      <c r="C17" s="21" t="s">
        <v>153</v>
      </c>
      <c r="D17" s="18">
        <v>0.1</v>
      </c>
      <c r="E17" s="16" t="s">
        <v>105</v>
      </c>
      <c r="F17" s="21">
        <v>1</v>
      </c>
      <c r="G17" s="392"/>
      <c r="H17" s="23">
        <v>43191</v>
      </c>
      <c r="I17" s="17">
        <v>43465</v>
      </c>
      <c r="J17" s="12">
        <v>0</v>
      </c>
      <c r="K17" s="24">
        <v>0.3</v>
      </c>
      <c r="L17" s="24">
        <v>0.4</v>
      </c>
      <c r="M17" s="24">
        <v>1</v>
      </c>
      <c r="N17" s="299">
        <v>1</v>
      </c>
      <c r="O17" s="10">
        <v>0.76</v>
      </c>
      <c r="P17" s="10">
        <v>1</v>
      </c>
      <c r="Q17" s="10">
        <v>1</v>
      </c>
      <c r="R17" s="10">
        <v>1</v>
      </c>
      <c r="S17" s="119">
        <v>1</v>
      </c>
      <c r="T17" s="253">
        <v>1</v>
      </c>
      <c r="U17" s="10">
        <v>1</v>
      </c>
      <c r="V17" s="283">
        <v>0.6</v>
      </c>
      <c r="W17" s="253">
        <v>1</v>
      </c>
      <c r="X17" s="253">
        <v>1</v>
      </c>
      <c r="Y17" s="234">
        <f t="shared" si="0"/>
        <v>0.94181818181818178</v>
      </c>
      <c r="Z17" s="222"/>
    </row>
    <row r="18" spans="1:26">
      <c r="Q18" s="13"/>
    </row>
    <row r="19" spans="1:26" ht="31.5">
      <c r="G19" s="230" t="s">
        <v>977</v>
      </c>
      <c r="H19" s="233"/>
      <c r="I19" s="233"/>
      <c r="J19" s="233"/>
      <c r="K19" s="233"/>
      <c r="L19" s="233"/>
      <c r="M19" s="233"/>
      <c r="N19" s="295">
        <f>+AVERAGE(N8:N17)</f>
        <v>0.93599999999999994</v>
      </c>
      <c r="O19" s="295">
        <f t="shared" ref="O19:X19" si="1">+AVERAGE(O8:O17)</f>
        <v>0.85600000000000009</v>
      </c>
      <c r="P19" s="295">
        <f t="shared" si="1"/>
        <v>0.94444444444444442</v>
      </c>
      <c r="Q19" s="295">
        <f t="shared" si="1"/>
        <v>1</v>
      </c>
      <c r="R19" s="295">
        <f t="shared" si="1"/>
        <v>1</v>
      </c>
      <c r="S19" s="295">
        <f t="shared" si="1"/>
        <v>0.91200000000000014</v>
      </c>
      <c r="T19" s="295">
        <f t="shared" si="1"/>
        <v>0.92500000000000004</v>
      </c>
      <c r="U19" s="295">
        <f t="shared" si="1"/>
        <v>0.78</v>
      </c>
      <c r="V19" s="295">
        <f t="shared" si="1"/>
        <v>0.63</v>
      </c>
      <c r="W19" s="295">
        <f t="shared" si="1"/>
        <v>0.88000000000000012</v>
      </c>
      <c r="X19" s="295">
        <f t="shared" si="1"/>
        <v>1</v>
      </c>
      <c r="Y19" s="281">
        <f>AVERAGE(Y8:Y17)</f>
        <v>0.89460909090909069</v>
      </c>
    </row>
    <row r="20" spans="1:26" ht="31.5">
      <c r="G20" s="230" t="s">
        <v>982</v>
      </c>
      <c r="H20" s="233"/>
      <c r="I20" s="233"/>
      <c r="J20" s="233"/>
      <c r="K20" s="233"/>
      <c r="L20" s="227">
        <f>+AVERAGE(L8:L17)</f>
        <v>0.82000000000000006</v>
      </c>
      <c r="M20" s="227">
        <f>+AVERAGE(M8:M17)</f>
        <v>1</v>
      </c>
      <c r="N20" s="233"/>
      <c r="O20" s="233"/>
      <c r="P20" s="233"/>
      <c r="Q20" s="233"/>
      <c r="R20" s="233"/>
      <c r="S20" s="233"/>
      <c r="T20" s="233"/>
      <c r="U20" s="233"/>
      <c r="V20" s="233"/>
      <c r="W20" s="233"/>
      <c r="X20" s="233"/>
    </row>
  </sheetData>
  <mergeCells count="19">
    <mergeCell ref="N5:Y6"/>
    <mergeCell ref="A4:Y4"/>
    <mergeCell ref="J5:M5"/>
    <mergeCell ref="G16:G17"/>
    <mergeCell ref="B16:B17"/>
    <mergeCell ref="A8:A17"/>
    <mergeCell ref="H6:H7"/>
    <mergeCell ref="I6:I7"/>
    <mergeCell ref="B8:B15"/>
    <mergeCell ref="G8:G9"/>
    <mergeCell ref="G13:G14"/>
    <mergeCell ref="F5:F7"/>
    <mergeCell ref="G5:G7"/>
    <mergeCell ref="H5:I5"/>
    <mergeCell ref="A5:A7"/>
    <mergeCell ref="B5:B7"/>
    <mergeCell ref="C5:C7"/>
    <mergeCell ref="D5:D7"/>
    <mergeCell ref="E5:E7"/>
  </mergeCells>
  <pageMargins left="0.7" right="0.7" top="0.75" bottom="0.75" header="0.3" footer="0.3"/>
  <pageSetup scale="24"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80"/>
  </sheetPr>
  <dimension ref="A1:Y12"/>
  <sheetViews>
    <sheetView zoomScale="70" zoomScaleNormal="70" workbookViewId="0">
      <selection activeCell="A5" sqref="A5:A7"/>
    </sheetView>
  </sheetViews>
  <sheetFormatPr baseColWidth="10" defaultColWidth="10.7109375" defaultRowHeight="12.75"/>
  <cols>
    <col min="1" max="1" width="19.42578125" customWidth="1"/>
    <col min="2" max="2" width="18.28515625" customWidth="1"/>
    <col min="3" max="3" width="16.5703125" customWidth="1"/>
    <col min="4" max="4" width="18.42578125" customWidth="1"/>
    <col min="5" max="5" width="14.28515625" customWidth="1"/>
    <col min="6" max="6" width="17.42578125" customWidth="1"/>
    <col min="7" max="7" width="29.7109375" customWidth="1"/>
    <col min="8" max="9" width="15.7109375" hidden="1" customWidth="1"/>
    <col min="10" max="11" width="17.85546875" hidden="1" customWidth="1"/>
    <col min="12" max="12" width="17.85546875" customWidth="1"/>
    <col min="13" max="13" width="17.85546875" hidden="1" customWidth="1"/>
    <col min="14" max="21" width="15.85546875" customWidth="1"/>
    <col min="22" max="22" width="14.28515625" customWidth="1"/>
    <col min="23" max="23" width="12.5703125" customWidth="1"/>
    <col min="25" max="25" width="12.5703125" customWidth="1"/>
  </cols>
  <sheetData>
    <row r="1" spans="1:25" ht="20.25" customHeight="1"/>
    <row r="2" spans="1:25" ht="28.5" customHeight="1"/>
    <row r="4" spans="1:25" ht="33.75">
      <c r="A4" s="337" t="s">
        <v>512</v>
      </c>
      <c r="B4" s="338"/>
      <c r="C4" s="338"/>
      <c r="D4" s="338"/>
      <c r="E4" s="338"/>
      <c r="F4" s="338"/>
      <c r="G4" s="338"/>
      <c r="H4" s="338"/>
      <c r="I4" s="338"/>
      <c r="J4" s="338"/>
      <c r="K4" s="338"/>
      <c r="L4" s="338"/>
      <c r="M4" s="338"/>
      <c r="N4" s="338"/>
      <c r="O4" s="338"/>
      <c r="P4" s="338"/>
      <c r="Q4" s="338"/>
      <c r="R4" s="338"/>
      <c r="S4" s="338"/>
      <c r="T4" s="338"/>
      <c r="U4" s="338"/>
      <c r="V4" s="338"/>
      <c r="W4" s="338"/>
      <c r="X4" s="338"/>
      <c r="Y4" s="338"/>
    </row>
    <row r="5" spans="1:25" ht="39.75" customHeight="1">
      <c r="A5" s="396" t="s">
        <v>103</v>
      </c>
      <c r="B5" s="396" t="s">
        <v>74</v>
      </c>
      <c r="C5" s="396" t="s">
        <v>65</v>
      </c>
      <c r="D5" s="396" t="s">
        <v>66</v>
      </c>
      <c r="E5" s="396" t="s">
        <v>67</v>
      </c>
      <c r="F5" s="396" t="s">
        <v>68</v>
      </c>
      <c r="G5" s="396" t="s">
        <v>69</v>
      </c>
      <c r="H5" s="397" t="s">
        <v>70</v>
      </c>
      <c r="I5" s="397"/>
      <c r="J5" s="396" t="s">
        <v>79</v>
      </c>
      <c r="K5" s="396"/>
      <c r="L5" s="396"/>
      <c r="M5" s="396"/>
      <c r="N5" s="395" t="s">
        <v>558</v>
      </c>
      <c r="O5" s="395"/>
      <c r="P5" s="395"/>
      <c r="Q5" s="395"/>
      <c r="R5" s="395"/>
      <c r="S5" s="395"/>
      <c r="T5" s="395"/>
      <c r="U5" s="395"/>
      <c r="V5" s="395"/>
      <c r="W5" s="395"/>
      <c r="X5" s="395"/>
      <c r="Y5" s="395"/>
    </row>
    <row r="6" spans="1:25" ht="30" customHeight="1">
      <c r="A6" s="396"/>
      <c r="B6" s="396"/>
      <c r="C6" s="396"/>
      <c r="D6" s="396"/>
      <c r="E6" s="396"/>
      <c r="F6" s="396"/>
      <c r="G6" s="396"/>
      <c r="H6" s="396" t="s">
        <v>71</v>
      </c>
      <c r="I6" s="396" t="s">
        <v>72</v>
      </c>
      <c r="J6" s="111" t="s">
        <v>75</v>
      </c>
      <c r="K6" s="111" t="s">
        <v>76</v>
      </c>
      <c r="L6" s="111" t="s">
        <v>77</v>
      </c>
      <c r="M6" s="111" t="s">
        <v>78</v>
      </c>
      <c r="N6" s="395"/>
      <c r="O6" s="395"/>
      <c r="P6" s="395"/>
      <c r="Q6" s="395"/>
      <c r="R6" s="395"/>
      <c r="S6" s="395"/>
      <c r="T6" s="395"/>
      <c r="U6" s="395"/>
      <c r="V6" s="395"/>
      <c r="W6" s="395"/>
      <c r="X6" s="395"/>
      <c r="Y6" s="395"/>
    </row>
    <row r="7" spans="1:25" ht="47.25" customHeight="1">
      <c r="A7" s="396"/>
      <c r="B7" s="396"/>
      <c r="C7" s="396"/>
      <c r="D7" s="396"/>
      <c r="E7" s="396"/>
      <c r="F7" s="396"/>
      <c r="G7" s="396"/>
      <c r="H7" s="396"/>
      <c r="I7" s="396"/>
      <c r="J7" s="112" t="s">
        <v>64</v>
      </c>
      <c r="K7" s="112" t="s">
        <v>64</v>
      </c>
      <c r="L7" s="112" t="s">
        <v>64</v>
      </c>
      <c r="M7" s="112" t="s">
        <v>64</v>
      </c>
      <c r="N7" s="184" t="s">
        <v>198</v>
      </c>
      <c r="O7" s="184" t="s">
        <v>349</v>
      </c>
      <c r="P7" s="184" t="s">
        <v>283</v>
      </c>
      <c r="Q7" s="184" t="s">
        <v>371</v>
      </c>
      <c r="R7" s="184" t="s">
        <v>380</v>
      </c>
      <c r="S7" s="184" t="s">
        <v>391</v>
      </c>
      <c r="T7" s="184" t="s">
        <v>487</v>
      </c>
      <c r="U7" s="184" t="s">
        <v>392</v>
      </c>
      <c r="V7" s="184" t="s">
        <v>555</v>
      </c>
      <c r="W7" s="184" t="s">
        <v>397</v>
      </c>
      <c r="X7" s="184" t="s">
        <v>556</v>
      </c>
      <c r="Y7" s="236" t="s">
        <v>557</v>
      </c>
    </row>
    <row r="8" spans="1:25" ht="157.5">
      <c r="A8" s="319" t="s">
        <v>62</v>
      </c>
      <c r="B8" s="318" t="s">
        <v>98</v>
      </c>
      <c r="C8" s="21" t="s">
        <v>164</v>
      </c>
      <c r="D8" s="18">
        <v>0.7</v>
      </c>
      <c r="E8" s="16" t="s">
        <v>105</v>
      </c>
      <c r="F8" s="60" t="s">
        <v>160</v>
      </c>
      <c r="G8" s="89" t="s">
        <v>161</v>
      </c>
      <c r="H8" s="30">
        <v>43132</v>
      </c>
      <c r="I8" s="30">
        <v>43373</v>
      </c>
      <c r="J8" s="10">
        <v>0.2</v>
      </c>
      <c r="K8" s="10">
        <v>0.5</v>
      </c>
      <c r="L8" s="10">
        <v>1</v>
      </c>
      <c r="M8" s="10">
        <v>1</v>
      </c>
      <c r="N8" s="290">
        <v>1</v>
      </c>
      <c r="O8" s="10">
        <v>1</v>
      </c>
      <c r="P8" s="10">
        <v>1</v>
      </c>
      <c r="Q8" s="10">
        <v>0.7</v>
      </c>
      <c r="R8" s="10">
        <v>1</v>
      </c>
      <c r="S8" s="10">
        <v>0.5</v>
      </c>
      <c r="T8" s="253">
        <v>1</v>
      </c>
      <c r="U8" s="10">
        <v>0.5</v>
      </c>
      <c r="V8" s="253">
        <v>0.3</v>
      </c>
      <c r="W8" s="253">
        <v>1</v>
      </c>
      <c r="X8" s="253">
        <v>0.95</v>
      </c>
      <c r="Y8" s="235">
        <f>+AVERAGE(N8:X8)</f>
        <v>0.8136363636363636</v>
      </c>
    </row>
    <row r="9" spans="1:25" ht="204.75">
      <c r="A9" s="319"/>
      <c r="B9" s="318"/>
      <c r="C9" s="21" t="s">
        <v>165</v>
      </c>
      <c r="D9" s="18">
        <v>0.3</v>
      </c>
      <c r="E9" s="16" t="s">
        <v>105</v>
      </c>
      <c r="F9" s="60" t="s">
        <v>162</v>
      </c>
      <c r="G9" s="89" t="s">
        <v>163</v>
      </c>
      <c r="H9" s="30">
        <v>43282</v>
      </c>
      <c r="I9" s="30">
        <v>43464</v>
      </c>
      <c r="J9" s="10">
        <v>0</v>
      </c>
      <c r="K9" s="10">
        <v>0</v>
      </c>
      <c r="L9" s="10">
        <v>0.5</v>
      </c>
      <c r="M9" s="10">
        <v>1</v>
      </c>
      <c r="N9" s="290">
        <v>1</v>
      </c>
      <c r="O9" s="10">
        <v>1</v>
      </c>
      <c r="P9" s="10">
        <v>1</v>
      </c>
      <c r="Q9" s="10">
        <v>0.5</v>
      </c>
      <c r="R9" s="10">
        <v>0.9</v>
      </c>
      <c r="S9" s="10">
        <v>0.5</v>
      </c>
      <c r="T9" s="253">
        <v>1</v>
      </c>
      <c r="U9" s="10">
        <v>0.5</v>
      </c>
      <c r="V9" s="253">
        <v>0.3</v>
      </c>
      <c r="W9" s="253">
        <v>0.5</v>
      </c>
      <c r="X9" s="253">
        <v>0.75</v>
      </c>
      <c r="Y9" s="235">
        <f>+AVERAGE(N9:X9)</f>
        <v>0.72272727272727277</v>
      </c>
    </row>
    <row r="11" spans="1:25" ht="31.5">
      <c r="G11" s="230" t="s">
        <v>977</v>
      </c>
      <c r="H11" s="233"/>
      <c r="I11" s="233"/>
      <c r="J11" s="233"/>
      <c r="K11" s="233"/>
      <c r="L11" s="233"/>
      <c r="M11" s="233"/>
      <c r="N11" s="295">
        <f>+AVERAGE(N8:N9)</f>
        <v>1</v>
      </c>
      <c r="O11" s="295">
        <f t="shared" ref="O11:X11" si="0">+AVERAGE(O8:O9)</f>
        <v>1</v>
      </c>
      <c r="P11" s="295">
        <f t="shared" si="0"/>
        <v>1</v>
      </c>
      <c r="Q11" s="295">
        <f t="shared" si="0"/>
        <v>0.6</v>
      </c>
      <c r="R11" s="295">
        <f t="shared" si="0"/>
        <v>0.95</v>
      </c>
      <c r="S11" s="295">
        <f t="shared" si="0"/>
        <v>0.5</v>
      </c>
      <c r="T11" s="295">
        <f t="shared" si="0"/>
        <v>1</v>
      </c>
      <c r="U11" s="295">
        <f t="shared" si="0"/>
        <v>0.5</v>
      </c>
      <c r="V11" s="295">
        <f t="shared" si="0"/>
        <v>0.3</v>
      </c>
      <c r="W11" s="295">
        <f t="shared" si="0"/>
        <v>0.75</v>
      </c>
      <c r="X11" s="295">
        <f t="shared" si="0"/>
        <v>0.85</v>
      </c>
      <c r="Y11" s="281">
        <f>AVERAGE(Y8:Y9)</f>
        <v>0.76818181818181819</v>
      </c>
    </row>
    <row r="12" spans="1:25" ht="47.25">
      <c r="G12" s="230" t="s">
        <v>983</v>
      </c>
      <c r="H12" s="233"/>
      <c r="I12" s="233"/>
      <c r="J12" s="233"/>
      <c r="K12" s="233"/>
      <c r="L12" s="227">
        <f>+AVERAGE(L8:L9)</f>
        <v>0.75</v>
      </c>
      <c r="M12" s="233"/>
      <c r="N12" s="233"/>
      <c r="O12" s="233"/>
      <c r="P12" s="233"/>
      <c r="Q12" s="233"/>
      <c r="R12" s="233"/>
      <c r="S12" s="233"/>
      <c r="T12" s="233"/>
      <c r="U12" s="233"/>
      <c r="V12" s="233"/>
      <c r="W12" s="233"/>
      <c r="X12" s="233"/>
    </row>
  </sheetData>
  <mergeCells count="15">
    <mergeCell ref="A8:A9"/>
    <mergeCell ref="B8:B9"/>
    <mergeCell ref="A5:A7"/>
    <mergeCell ref="B5:B7"/>
    <mergeCell ref="C5:C7"/>
    <mergeCell ref="N5:Y6"/>
    <mergeCell ref="A4:Y4"/>
    <mergeCell ref="J5:M5"/>
    <mergeCell ref="H6:H7"/>
    <mergeCell ref="I6:I7"/>
    <mergeCell ref="D5:D7"/>
    <mergeCell ref="E5:E7"/>
    <mergeCell ref="F5:F7"/>
    <mergeCell ref="G5:G7"/>
    <mergeCell ref="H5:I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080"/>
  </sheetPr>
  <dimension ref="A1:Y14"/>
  <sheetViews>
    <sheetView zoomScale="80" zoomScaleNormal="80" workbookViewId="0">
      <selection activeCell="O24" sqref="O24"/>
    </sheetView>
  </sheetViews>
  <sheetFormatPr baseColWidth="10" defaultColWidth="10.7109375" defaultRowHeight="12.75"/>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9" width="16" hidden="1" customWidth="1"/>
    <col min="10" max="10" width="16.28515625" hidden="1" customWidth="1"/>
    <col min="11" max="11" width="20.28515625" hidden="1" customWidth="1"/>
    <col min="12" max="12" width="16.28515625" customWidth="1"/>
    <col min="13" max="13" width="16.28515625" hidden="1" customWidth="1"/>
    <col min="14" max="14" width="15.28515625" customWidth="1"/>
    <col min="15" max="15" width="16" customWidth="1"/>
    <col min="16" max="16" width="14" customWidth="1"/>
    <col min="17" max="17" width="14.7109375" customWidth="1"/>
    <col min="18" max="18" width="14.140625" customWidth="1"/>
    <col min="19" max="19" width="13.5703125" customWidth="1"/>
    <col min="20" max="20" width="13.42578125" customWidth="1"/>
    <col min="21" max="21" width="14.42578125" customWidth="1"/>
    <col min="22" max="22" width="12.7109375" customWidth="1"/>
    <col min="23" max="23" width="12.85546875" customWidth="1"/>
    <col min="24" max="24" width="11.5703125" customWidth="1"/>
    <col min="25" max="25" width="13" customWidth="1"/>
  </cols>
  <sheetData>
    <row r="1" spans="1:25" ht="28.5" customHeight="1"/>
    <row r="2" spans="1:25" ht="28.5" customHeight="1"/>
    <row r="4" spans="1:25" ht="33.75">
      <c r="A4" s="316" t="s">
        <v>512</v>
      </c>
      <c r="B4" s="316"/>
      <c r="C4" s="316"/>
      <c r="D4" s="316"/>
      <c r="E4" s="316"/>
      <c r="F4" s="316"/>
      <c r="G4" s="316"/>
      <c r="H4" s="316"/>
      <c r="I4" s="316"/>
      <c r="J4" s="316"/>
      <c r="K4" s="316"/>
      <c r="L4" s="316"/>
      <c r="M4" s="316"/>
      <c r="N4" s="316"/>
      <c r="O4" s="316"/>
      <c r="P4" s="316"/>
      <c r="Q4" s="316"/>
      <c r="R4" s="316"/>
      <c r="S4" s="316"/>
      <c r="T4" s="316"/>
      <c r="U4" s="316"/>
    </row>
    <row r="5" spans="1:25" ht="30" customHeight="1">
      <c r="A5" s="396" t="s">
        <v>103</v>
      </c>
      <c r="B5" s="396" t="s">
        <v>74</v>
      </c>
      <c r="C5" s="396" t="s">
        <v>65</v>
      </c>
      <c r="D5" s="396" t="s">
        <v>66</v>
      </c>
      <c r="E5" s="396" t="s">
        <v>67</v>
      </c>
      <c r="F5" s="396" t="s">
        <v>68</v>
      </c>
      <c r="G5" s="396" t="s">
        <v>69</v>
      </c>
      <c r="H5" s="397" t="s">
        <v>70</v>
      </c>
      <c r="I5" s="397"/>
      <c r="J5" s="396" t="s">
        <v>79</v>
      </c>
      <c r="K5" s="396"/>
      <c r="L5" s="396"/>
      <c r="M5" s="396"/>
      <c r="N5" s="317" t="s">
        <v>558</v>
      </c>
      <c r="O5" s="317"/>
      <c r="P5" s="317"/>
      <c r="Q5" s="317"/>
      <c r="R5" s="317"/>
      <c r="S5" s="317"/>
      <c r="T5" s="317"/>
      <c r="U5" s="317"/>
      <c r="V5" s="317"/>
      <c r="W5" s="317"/>
      <c r="X5" s="317"/>
      <c r="Y5" s="317"/>
    </row>
    <row r="6" spans="1:25" ht="30" customHeight="1">
      <c r="A6" s="396"/>
      <c r="B6" s="396"/>
      <c r="C6" s="396"/>
      <c r="D6" s="396"/>
      <c r="E6" s="396"/>
      <c r="F6" s="396"/>
      <c r="G6" s="396"/>
      <c r="H6" s="396" t="s">
        <v>71</v>
      </c>
      <c r="I6" s="396" t="s">
        <v>72</v>
      </c>
      <c r="J6" s="111" t="s">
        <v>75</v>
      </c>
      <c r="K6" s="111" t="s">
        <v>76</v>
      </c>
      <c r="L6" s="111" t="s">
        <v>77</v>
      </c>
      <c r="M6" s="111" t="s">
        <v>78</v>
      </c>
      <c r="N6" s="317"/>
      <c r="O6" s="317"/>
      <c r="P6" s="317"/>
      <c r="Q6" s="317"/>
      <c r="R6" s="317"/>
      <c r="S6" s="317"/>
      <c r="T6" s="317"/>
      <c r="U6" s="317"/>
      <c r="V6" s="317"/>
      <c r="W6" s="317"/>
      <c r="X6" s="317"/>
      <c r="Y6" s="317"/>
    </row>
    <row r="7" spans="1:25" ht="36">
      <c r="A7" s="396"/>
      <c r="B7" s="396"/>
      <c r="C7" s="396"/>
      <c r="D7" s="396"/>
      <c r="E7" s="396"/>
      <c r="F7" s="396"/>
      <c r="G7" s="396"/>
      <c r="H7" s="396"/>
      <c r="I7" s="396"/>
      <c r="J7" s="112" t="s">
        <v>64</v>
      </c>
      <c r="K7" s="112" t="s">
        <v>64</v>
      </c>
      <c r="L7" s="112" t="s">
        <v>64</v>
      </c>
      <c r="M7" s="112" t="s">
        <v>64</v>
      </c>
      <c r="N7" s="184" t="s">
        <v>198</v>
      </c>
      <c r="O7" s="184" t="s">
        <v>349</v>
      </c>
      <c r="P7" s="184" t="s">
        <v>283</v>
      </c>
      <c r="Q7" s="184" t="s">
        <v>371</v>
      </c>
      <c r="R7" s="184" t="s">
        <v>380</v>
      </c>
      <c r="S7" s="184" t="s">
        <v>391</v>
      </c>
      <c r="T7" s="184" t="s">
        <v>487</v>
      </c>
      <c r="U7" s="184" t="s">
        <v>392</v>
      </c>
      <c r="V7" s="184" t="s">
        <v>555</v>
      </c>
      <c r="W7" s="186" t="s">
        <v>397</v>
      </c>
      <c r="X7" s="186" t="s">
        <v>556</v>
      </c>
      <c r="Y7" s="184" t="s">
        <v>557</v>
      </c>
    </row>
    <row r="8" spans="1:25" ht="60">
      <c r="A8" s="319" t="s">
        <v>63</v>
      </c>
      <c r="B8" s="318" t="s">
        <v>63</v>
      </c>
      <c r="C8" s="22" t="s">
        <v>184</v>
      </c>
      <c r="D8" s="18">
        <v>0.3</v>
      </c>
      <c r="E8" s="16" t="s">
        <v>105</v>
      </c>
      <c r="F8" s="21">
        <v>1</v>
      </c>
      <c r="G8" s="20" t="s">
        <v>185</v>
      </c>
      <c r="H8" s="23">
        <v>43101</v>
      </c>
      <c r="I8" s="17">
        <v>43373</v>
      </c>
      <c r="J8" s="24">
        <v>0.15</v>
      </c>
      <c r="K8" s="24">
        <v>0.5</v>
      </c>
      <c r="L8" s="24">
        <v>1</v>
      </c>
      <c r="M8" s="24">
        <v>1</v>
      </c>
      <c r="N8" s="163">
        <v>1</v>
      </c>
      <c r="O8" s="164">
        <v>1</v>
      </c>
      <c r="P8" s="120">
        <v>0.75</v>
      </c>
      <c r="Q8" s="164">
        <v>1</v>
      </c>
      <c r="R8" s="164">
        <v>1</v>
      </c>
      <c r="S8" s="120">
        <v>1</v>
      </c>
      <c r="T8" s="120">
        <v>0.5</v>
      </c>
      <c r="U8" s="120">
        <v>1</v>
      </c>
      <c r="V8" s="168">
        <v>0.8</v>
      </c>
      <c r="W8" s="164">
        <v>1</v>
      </c>
      <c r="X8" s="164">
        <v>1</v>
      </c>
      <c r="Y8" s="237">
        <f>+AVERAGE(N8:X8)</f>
        <v>0.91363636363636369</v>
      </c>
    </row>
    <row r="9" spans="1:25" ht="45">
      <c r="A9" s="319"/>
      <c r="B9" s="318"/>
      <c r="C9" s="22" t="s">
        <v>186</v>
      </c>
      <c r="D9" s="18">
        <v>0.3</v>
      </c>
      <c r="E9" s="16" t="s">
        <v>105</v>
      </c>
      <c r="F9" s="21">
        <v>1</v>
      </c>
      <c r="G9" s="19" t="s">
        <v>100</v>
      </c>
      <c r="H9" s="23">
        <v>43101</v>
      </c>
      <c r="I9" s="17">
        <v>43465</v>
      </c>
      <c r="J9" s="24">
        <v>0.25</v>
      </c>
      <c r="K9" s="24">
        <v>0.5</v>
      </c>
      <c r="L9" s="24">
        <v>0.75</v>
      </c>
      <c r="M9" s="24">
        <v>1</v>
      </c>
      <c r="N9" s="120">
        <v>1</v>
      </c>
      <c r="O9" s="164">
        <v>1</v>
      </c>
      <c r="P9" s="120">
        <v>1</v>
      </c>
      <c r="Q9" s="164">
        <v>1</v>
      </c>
      <c r="R9" s="164">
        <v>1</v>
      </c>
      <c r="S9" s="120">
        <v>0.25</v>
      </c>
      <c r="T9" s="120">
        <v>1</v>
      </c>
      <c r="U9" s="120">
        <v>1</v>
      </c>
      <c r="V9" s="168">
        <v>0.5</v>
      </c>
      <c r="W9" s="164">
        <v>1</v>
      </c>
      <c r="X9" s="164">
        <v>1</v>
      </c>
      <c r="Y9" s="237">
        <f>+AVERAGE(N9:X9)</f>
        <v>0.88636363636363635</v>
      </c>
    </row>
    <row r="10" spans="1:25" ht="45">
      <c r="A10" s="319"/>
      <c r="B10" s="318"/>
      <c r="C10" s="22" t="s">
        <v>187</v>
      </c>
      <c r="D10" s="18">
        <v>0.2</v>
      </c>
      <c r="E10" s="16" t="s">
        <v>105</v>
      </c>
      <c r="F10" s="21">
        <v>1</v>
      </c>
      <c r="G10" s="19" t="s">
        <v>101</v>
      </c>
      <c r="H10" s="23">
        <v>43101</v>
      </c>
      <c r="I10" s="17">
        <v>43465</v>
      </c>
      <c r="J10" s="24">
        <v>0.2</v>
      </c>
      <c r="K10" s="24">
        <v>0.6</v>
      </c>
      <c r="L10" s="24">
        <v>1</v>
      </c>
      <c r="M10" s="24">
        <v>1</v>
      </c>
      <c r="N10" s="120">
        <v>1</v>
      </c>
      <c r="O10" s="164">
        <v>1</v>
      </c>
      <c r="P10" s="120">
        <v>1</v>
      </c>
      <c r="Q10" s="164">
        <v>1</v>
      </c>
      <c r="R10" s="120">
        <v>0.97</v>
      </c>
      <c r="S10" s="120">
        <v>1</v>
      </c>
      <c r="T10" s="120">
        <v>0.6</v>
      </c>
      <c r="U10" s="119">
        <v>1</v>
      </c>
      <c r="V10" s="168">
        <v>1</v>
      </c>
      <c r="W10" s="164">
        <v>1</v>
      </c>
      <c r="X10" s="164">
        <v>1</v>
      </c>
      <c r="Y10" s="237">
        <f>+AVERAGE(N10:X10)</f>
        <v>0.96090909090909093</v>
      </c>
    </row>
    <row r="11" spans="1:25" ht="75">
      <c r="A11" s="319"/>
      <c r="B11" s="318"/>
      <c r="C11" s="22" t="s">
        <v>188</v>
      </c>
      <c r="D11" s="18">
        <v>0.2</v>
      </c>
      <c r="E11" s="16" t="s">
        <v>105</v>
      </c>
      <c r="F11" s="21">
        <v>1</v>
      </c>
      <c r="G11" s="19" t="s">
        <v>102</v>
      </c>
      <c r="H11" s="23">
        <v>43191</v>
      </c>
      <c r="I11" s="17">
        <v>43465</v>
      </c>
      <c r="J11" s="24">
        <v>0</v>
      </c>
      <c r="K11" s="24">
        <v>0.5</v>
      </c>
      <c r="L11" s="24">
        <v>0.75</v>
      </c>
      <c r="M11" s="24">
        <v>1</v>
      </c>
      <c r="N11" s="120">
        <v>1</v>
      </c>
      <c r="O11" s="164">
        <v>1</v>
      </c>
      <c r="P11" s="120">
        <v>1</v>
      </c>
      <c r="Q11" s="164">
        <v>1</v>
      </c>
      <c r="R11" s="120">
        <v>1</v>
      </c>
      <c r="S11" s="120">
        <v>1</v>
      </c>
      <c r="T11" s="120">
        <v>0.75</v>
      </c>
      <c r="U11" s="119">
        <v>1</v>
      </c>
      <c r="V11" s="168">
        <v>0.8</v>
      </c>
      <c r="W11" s="164">
        <v>1</v>
      </c>
      <c r="X11" s="164">
        <v>1</v>
      </c>
      <c r="Y11" s="237">
        <f>+AVERAGE(N11:X11)</f>
        <v>0.95909090909090911</v>
      </c>
    </row>
    <row r="12" spans="1:25" ht="15.75">
      <c r="O12" s="221"/>
      <c r="P12" s="169"/>
      <c r="Q12" s="119"/>
      <c r="S12" s="119"/>
    </row>
    <row r="13" spans="1:25" ht="31.5">
      <c r="G13" s="230" t="s">
        <v>977</v>
      </c>
      <c r="H13" s="233"/>
      <c r="I13" s="233"/>
      <c r="J13" s="233"/>
      <c r="K13" s="233"/>
      <c r="L13" s="233"/>
      <c r="M13" s="233"/>
      <c r="N13" s="295">
        <f>+AVERAGE(N8:N11)</f>
        <v>1</v>
      </c>
      <c r="O13" s="295">
        <f t="shared" ref="O13:X13" si="0">+AVERAGE(O8:O11)</f>
        <v>1</v>
      </c>
      <c r="P13" s="295">
        <f t="shared" si="0"/>
        <v>0.9375</v>
      </c>
      <c r="Q13" s="295">
        <f t="shared" si="0"/>
        <v>1</v>
      </c>
      <c r="R13" s="295">
        <f t="shared" si="0"/>
        <v>0.99249999999999994</v>
      </c>
      <c r="S13" s="295">
        <f t="shared" si="0"/>
        <v>0.8125</v>
      </c>
      <c r="T13" s="295">
        <f t="shared" si="0"/>
        <v>0.71250000000000002</v>
      </c>
      <c r="U13" s="295">
        <f t="shared" si="0"/>
        <v>1</v>
      </c>
      <c r="V13" s="295">
        <f t="shared" si="0"/>
        <v>0.77499999999999991</v>
      </c>
      <c r="W13" s="295">
        <f t="shared" si="0"/>
        <v>1</v>
      </c>
      <c r="X13" s="295">
        <f t="shared" si="0"/>
        <v>1</v>
      </c>
      <c r="Y13" s="281">
        <f>AVERAGE(Y8:Y11)</f>
        <v>0.92999999999999994</v>
      </c>
    </row>
    <row r="14" spans="1:25" ht="31.5">
      <c r="G14" s="230" t="s">
        <v>984</v>
      </c>
      <c r="H14" s="233"/>
      <c r="I14" s="233"/>
      <c r="J14" s="233"/>
      <c r="K14" s="233"/>
      <c r="L14" s="227">
        <f>+AVERAGE(L8:L11)</f>
        <v>0.875</v>
      </c>
      <c r="M14" s="233"/>
      <c r="N14" s="233"/>
      <c r="O14" s="233"/>
      <c r="P14" s="233"/>
      <c r="Q14" s="233"/>
      <c r="R14" s="233"/>
      <c r="S14" s="233"/>
      <c r="T14" s="233"/>
      <c r="U14" s="233"/>
      <c r="V14" s="233"/>
      <c r="W14" s="233"/>
      <c r="X14" s="233"/>
    </row>
  </sheetData>
  <mergeCells count="15">
    <mergeCell ref="A8:A11"/>
    <mergeCell ref="B8:B11"/>
    <mergeCell ref="A5:A7"/>
    <mergeCell ref="B5:B7"/>
    <mergeCell ref="C5:C7"/>
    <mergeCell ref="N5:Y6"/>
    <mergeCell ref="J5:M5"/>
    <mergeCell ref="A4:U4"/>
    <mergeCell ref="H6:H7"/>
    <mergeCell ref="I6:I7"/>
    <mergeCell ref="D5:D7"/>
    <mergeCell ref="E5:E7"/>
    <mergeCell ref="F5:F7"/>
    <mergeCell ref="G5:G7"/>
    <mergeCell ref="H5:I5"/>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Categorías!$A$3:$A$9</xm:f>
          </x14:formula1>
          <xm:sqref>A8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
  <dimension ref="A1:O40"/>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402" t="s">
        <v>13</v>
      </c>
      <c r="B1" s="401" t="s">
        <v>5</v>
      </c>
      <c r="C1" s="402" t="s">
        <v>14</v>
      </c>
      <c r="D1" s="402" t="s">
        <v>12</v>
      </c>
      <c r="E1" s="402" t="s">
        <v>17</v>
      </c>
      <c r="F1" s="402" t="s">
        <v>15</v>
      </c>
      <c r="G1" s="402" t="s">
        <v>11</v>
      </c>
      <c r="H1" s="401" t="s">
        <v>10</v>
      </c>
      <c r="I1" s="398" t="s">
        <v>2</v>
      </c>
      <c r="J1" s="400"/>
      <c r="K1" s="398" t="s">
        <v>3</v>
      </c>
      <c r="L1" s="399"/>
      <c r="M1" s="399"/>
      <c r="N1" s="399"/>
      <c r="O1" s="400"/>
    </row>
    <row r="2" spans="1:15" ht="90">
      <c r="A2" s="403"/>
      <c r="B2" s="401"/>
      <c r="C2" s="403"/>
      <c r="D2" s="403"/>
      <c r="E2" s="403"/>
      <c r="F2" s="403"/>
      <c r="G2" s="403"/>
      <c r="H2" s="401"/>
      <c r="I2" s="3" t="s">
        <v>0</v>
      </c>
      <c r="J2" s="3" t="s">
        <v>1</v>
      </c>
      <c r="K2" s="1" t="s">
        <v>7</v>
      </c>
      <c r="L2" s="1" t="s">
        <v>8</v>
      </c>
      <c r="M2" s="2" t="s">
        <v>6</v>
      </c>
      <c r="N2" s="1" t="s">
        <v>9</v>
      </c>
      <c r="O2" s="3" t="s">
        <v>4</v>
      </c>
    </row>
    <row r="3" spans="1:15" ht="12.75" customHeight="1">
      <c r="A3" s="7" t="s">
        <v>16</v>
      </c>
      <c r="B3" t="s">
        <v>18</v>
      </c>
      <c r="M3" s="4" t="s">
        <v>57</v>
      </c>
    </row>
    <row r="4" spans="1:15" ht="12.75" customHeight="1">
      <c r="A4" s="7" t="s">
        <v>58</v>
      </c>
      <c r="B4" t="s">
        <v>19</v>
      </c>
      <c r="M4" s="5" t="s">
        <v>21</v>
      </c>
    </row>
    <row r="5" spans="1:15" ht="12.75" customHeight="1">
      <c r="A5" s="7" t="s">
        <v>59</v>
      </c>
      <c r="B5" t="s">
        <v>20</v>
      </c>
      <c r="M5" s="6" t="s">
        <v>22</v>
      </c>
    </row>
    <row r="6" spans="1:15" ht="12.75" customHeight="1">
      <c r="A6" s="7" t="s">
        <v>60</v>
      </c>
      <c r="B6" t="s">
        <v>73</v>
      </c>
      <c r="M6" s="5" t="s">
        <v>23</v>
      </c>
    </row>
    <row r="7" spans="1:15" ht="12.75" customHeight="1">
      <c r="A7" s="7" t="s">
        <v>61</v>
      </c>
      <c r="M7" s="6" t="s">
        <v>24</v>
      </c>
    </row>
    <row r="8" spans="1:15" ht="12.75" customHeight="1">
      <c r="A8" s="7" t="s">
        <v>62</v>
      </c>
      <c r="M8" s="5" t="s">
        <v>25</v>
      </c>
    </row>
    <row r="9" spans="1:15" ht="12.75" customHeight="1">
      <c r="A9" s="7" t="s">
        <v>63</v>
      </c>
      <c r="M9" s="6" t="s">
        <v>26</v>
      </c>
    </row>
    <row r="10" spans="1:15" ht="12.75" customHeight="1">
      <c r="M10" s="5" t="s">
        <v>27</v>
      </c>
    </row>
    <row r="11" spans="1:15" ht="12.75" customHeight="1">
      <c r="M11" s="6" t="s">
        <v>28</v>
      </c>
    </row>
    <row r="12" spans="1:15" ht="12.75" customHeight="1">
      <c r="M12" s="5" t="s">
        <v>29</v>
      </c>
    </row>
    <row r="13" spans="1:15" ht="12.75" customHeight="1">
      <c r="M13" s="6" t="s">
        <v>30</v>
      </c>
    </row>
    <row r="14" spans="1:15" ht="12.75" customHeight="1">
      <c r="M14" s="5" t="s">
        <v>31</v>
      </c>
    </row>
    <row r="15" spans="1:15" ht="12.75" customHeight="1">
      <c r="M15" s="6" t="s">
        <v>32</v>
      </c>
    </row>
    <row r="16" spans="1:15" ht="12.75" customHeight="1">
      <c r="M16" s="5" t="s">
        <v>33</v>
      </c>
    </row>
    <row r="17" spans="13:13" ht="12.75" customHeight="1">
      <c r="M17" s="6" t="s">
        <v>34</v>
      </c>
    </row>
    <row r="18" spans="13:13" ht="12.75" customHeight="1">
      <c r="M18" s="6" t="s">
        <v>35</v>
      </c>
    </row>
    <row r="19" spans="13:13" ht="12.75" customHeight="1">
      <c r="M19" s="5" t="s">
        <v>36</v>
      </c>
    </row>
    <row r="20" spans="13:13" ht="12.75" customHeight="1">
      <c r="M20" s="6" t="s">
        <v>37</v>
      </c>
    </row>
    <row r="21" spans="13:13" ht="12.75" customHeight="1">
      <c r="M21" s="5" t="s">
        <v>38</v>
      </c>
    </row>
    <row r="22" spans="13:13" ht="12.75" customHeight="1">
      <c r="M22" s="6" t="s">
        <v>39</v>
      </c>
    </row>
    <row r="23" spans="13:13" ht="12.75" customHeight="1">
      <c r="M23" s="5" t="s">
        <v>40</v>
      </c>
    </row>
    <row r="24" spans="13:13" ht="12.75" customHeight="1">
      <c r="M24" s="6" t="s">
        <v>41</v>
      </c>
    </row>
    <row r="25" spans="13:13" ht="12.75" customHeight="1">
      <c r="M25" s="5" t="s">
        <v>42</v>
      </c>
    </row>
    <row r="26" spans="13:13" ht="12.75" customHeight="1">
      <c r="M26" s="6" t="s">
        <v>43</v>
      </c>
    </row>
    <row r="27" spans="13:13" ht="12.75" customHeight="1">
      <c r="M27" s="5" t="s">
        <v>44</v>
      </c>
    </row>
    <row r="28" spans="13:13" ht="12.75" customHeight="1">
      <c r="M28" s="6" t="s">
        <v>45</v>
      </c>
    </row>
    <row r="29" spans="13:13" ht="12.75" customHeight="1">
      <c r="M29" s="5" t="s">
        <v>46</v>
      </c>
    </row>
    <row r="30" spans="13:13" ht="12.75" customHeight="1">
      <c r="M30" s="5" t="s">
        <v>47</v>
      </c>
    </row>
    <row r="31" spans="13:13" ht="12.75" customHeight="1">
      <c r="M31" s="6" t="s">
        <v>48</v>
      </c>
    </row>
    <row r="32" spans="13:13" ht="12.75" customHeight="1">
      <c r="M32" s="5" t="s">
        <v>49</v>
      </c>
    </row>
    <row r="33" spans="13:13" ht="12.75" customHeight="1">
      <c r="M33" s="6" t="s">
        <v>50</v>
      </c>
    </row>
    <row r="34" spans="13:13" ht="12.75" customHeight="1">
      <c r="M34" s="5" t="s">
        <v>51</v>
      </c>
    </row>
    <row r="35" spans="13:13" ht="12.75" customHeight="1">
      <c r="M35" s="6" t="s">
        <v>52</v>
      </c>
    </row>
    <row r="36" spans="13:13" ht="12.75" customHeight="1">
      <c r="M36" s="5" t="s">
        <v>53</v>
      </c>
    </row>
    <row r="37" spans="13:13" ht="12.75" customHeight="1">
      <c r="M37" s="6" t="s">
        <v>54</v>
      </c>
    </row>
    <row r="38" spans="13:13" ht="12.75" customHeight="1">
      <c r="M38" s="5" t="s">
        <v>55</v>
      </c>
    </row>
    <row r="39" spans="13:13" ht="12.75" customHeight="1">
      <c r="M39" s="6" t="s">
        <v>56</v>
      </c>
    </row>
    <row r="40" spans="13:13" ht="12.75" customHeight="1"/>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2F8411-93EC-4201-A614-F2C25C7AFA34}">
  <ds:schemaRefs>
    <ds:schemaRef ds:uri="http://www.w3.org/XML/1998/namespace"/>
    <ds:schemaRef ds:uri="bbb1532b-ab18-4e7b-be3e-fa8e2303545f"/>
    <ds:schemaRef ds:uri="http://schemas.microsoft.com/office/2006/documentManagement/types"/>
    <ds:schemaRef ds:uri="http://purl.org/dc/terms/"/>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3.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PORCENTAJE CUMPLIMIENTO EAV</vt: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lpstr>'INFORMACIÓN Y COMUNICACIÓN'!Área_de_impresión</vt:lpstr>
    </vt:vector>
  </TitlesOfParts>
  <Company>Camara de comercio de cartagena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Carolina Moreno Lopez</cp:lastModifiedBy>
  <cp:lastPrinted>2017-10-26T15:22:21Z</cp:lastPrinted>
  <dcterms:created xsi:type="dcterms:W3CDTF">2008-08-05T17:06:18Z</dcterms:created>
  <dcterms:modified xsi:type="dcterms:W3CDTF">2019-01-28T16:45:33Z</dcterms:modified>
</cp:coreProperties>
</file>