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\Desktop\TESORERIA 2023\INFORME CON ANALISIS 2025\DICIEMBRE\"/>
    </mc:Choice>
  </mc:AlternateContent>
  <xr:revisionPtr revIDLastSave="0" documentId="13_ncr:1_{BCB15C95-A7D0-4BD5-A9F4-800EEAFCF1F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JECUCIÓN PR. SEPTIEMBRE 2023" sheetId="1" r:id="rId1"/>
    <sheet name="EJECUCIÓN PR. SEPTIEMBRE 20 (2)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2" l="1"/>
  <c r="H17" i="2" s="1"/>
  <c r="H19" i="2" s="1"/>
  <c r="F23" i="2"/>
  <c r="G465" i="2"/>
  <c r="F465" i="2"/>
  <c r="H455" i="2"/>
  <c r="G455" i="2"/>
  <c r="F455" i="2"/>
  <c r="F432" i="2"/>
  <c r="G425" i="2"/>
  <c r="F419" i="2"/>
  <c r="G413" i="2"/>
  <c r="H405" i="2"/>
  <c r="G405" i="2"/>
  <c r="G404" i="2"/>
  <c r="H404" i="2" s="1"/>
  <c r="G403" i="2"/>
  <c r="I403" i="2" s="1"/>
  <c r="I402" i="2" s="1"/>
  <c r="F402" i="2"/>
  <c r="F406" i="2" s="1"/>
  <c r="I401" i="2"/>
  <c r="H401" i="2"/>
  <c r="G401" i="2"/>
  <c r="G400" i="2"/>
  <c r="H400" i="2" s="1"/>
  <c r="H399" i="2"/>
  <c r="H398" i="2"/>
  <c r="H397" i="2"/>
  <c r="G396" i="2"/>
  <c r="G395" i="2" s="1"/>
  <c r="F395" i="2"/>
  <c r="J390" i="2"/>
  <c r="H389" i="2"/>
  <c r="H388" i="2"/>
  <c r="H387" i="2"/>
  <c r="I387" i="2" s="1"/>
  <c r="I386" i="2" s="1"/>
  <c r="J386" i="2"/>
  <c r="H386" i="2"/>
  <c r="G386" i="2"/>
  <c r="F386" i="2"/>
  <c r="H385" i="2"/>
  <c r="H384" i="2"/>
  <c r="H383" i="2"/>
  <c r="H382" i="2"/>
  <c r="H381" i="2"/>
  <c r="H380" i="2"/>
  <c r="I380" i="2" s="1"/>
  <c r="J379" i="2"/>
  <c r="G379" i="2"/>
  <c r="F379" i="2"/>
  <c r="F390" i="2" s="1"/>
  <c r="H390" i="2" s="1"/>
  <c r="G374" i="2"/>
  <c r="F374" i="2"/>
  <c r="L371" i="2"/>
  <c r="K371" i="2"/>
  <c r="N370" i="2"/>
  <c r="M370" i="2"/>
  <c r="N369" i="2"/>
  <c r="M369" i="2"/>
  <c r="N368" i="2"/>
  <c r="N371" i="2" s="1"/>
  <c r="M368" i="2"/>
  <c r="M371" i="2" s="1"/>
  <c r="H364" i="2"/>
  <c r="G364" i="2"/>
  <c r="F364" i="2"/>
  <c r="H456" i="2" s="1"/>
  <c r="F346" i="2"/>
  <c r="G336" i="2"/>
  <c r="F336" i="2"/>
  <c r="H335" i="2"/>
  <c r="I335" i="2" s="1"/>
  <c r="H334" i="2"/>
  <c r="I334" i="2" s="1"/>
  <c r="G329" i="2"/>
  <c r="F329" i="2"/>
  <c r="H328" i="2"/>
  <c r="H329" i="2" s="1"/>
  <c r="H327" i="2"/>
  <c r="G317" i="2"/>
  <c r="F317" i="2"/>
  <c r="G316" i="2"/>
  <c r="F316" i="2"/>
  <c r="H316" i="2" s="1"/>
  <c r="F314" i="2"/>
  <c r="G313" i="2"/>
  <c r="F313" i="2"/>
  <c r="H312" i="2"/>
  <c r="I312" i="2" s="1"/>
  <c r="I313" i="2" s="1"/>
  <c r="G312" i="2"/>
  <c r="F312" i="2"/>
  <c r="G309" i="2"/>
  <c r="G314" i="2" s="1"/>
  <c r="F309" i="2"/>
  <c r="H309" i="2" s="1"/>
  <c r="H314" i="2" s="1"/>
  <c r="E308" i="2"/>
  <c r="F294" i="2"/>
  <c r="F298" i="2" s="1"/>
  <c r="I287" i="2"/>
  <c r="H287" i="2"/>
  <c r="H285" i="2" s="1"/>
  <c r="I286" i="2"/>
  <c r="H286" i="2"/>
  <c r="G285" i="2"/>
  <c r="I285" i="2" s="1"/>
  <c r="G280" i="2"/>
  <c r="G279" i="2"/>
  <c r="F279" i="2"/>
  <c r="G278" i="2"/>
  <c r="F278" i="2"/>
  <c r="F280" i="2" s="1"/>
  <c r="H275" i="2"/>
  <c r="G275" i="2"/>
  <c r="F275" i="2"/>
  <c r="H274" i="2"/>
  <c r="H273" i="2"/>
  <c r="I269" i="2"/>
  <c r="J269" i="2" s="1"/>
  <c r="G265" i="2"/>
  <c r="F265" i="2"/>
  <c r="J264" i="2"/>
  <c r="H264" i="2"/>
  <c r="J263" i="2"/>
  <c r="H263" i="2"/>
  <c r="H265" i="2" s="1"/>
  <c r="I259" i="2"/>
  <c r="G259" i="2"/>
  <c r="F260" i="2" s="1"/>
  <c r="F259" i="2"/>
  <c r="H258" i="2"/>
  <c r="J258" i="2" s="1"/>
  <c r="J257" i="2"/>
  <c r="H257" i="2"/>
  <c r="H259" i="2" s="1"/>
  <c r="F252" i="2"/>
  <c r="F251" i="2"/>
  <c r="F242" i="2"/>
  <c r="H251" i="2" s="1"/>
  <c r="F238" i="2"/>
  <c r="F237" i="2"/>
  <c r="G238" i="2" s="1"/>
  <c r="H230" i="2"/>
  <c r="J223" i="2"/>
  <c r="L223" i="2" s="1"/>
  <c r="H210" i="2"/>
  <c r="G206" i="2"/>
  <c r="G207" i="2" s="1"/>
  <c r="G200" i="2"/>
  <c r="E242" i="2" s="1"/>
  <c r="G242" i="2" s="1"/>
  <c r="F200" i="2"/>
  <c r="F206" i="2" s="1"/>
  <c r="J196" i="2"/>
  <c r="G195" i="2"/>
  <c r="G196" i="2" s="1"/>
  <c r="F195" i="2"/>
  <c r="H194" i="2"/>
  <c r="H195" i="2" s="1"/>
  <c r="K193" i="2"/>
  <c r="N192" i="2"/>
  <c r="G218" i="2" s="1"/>
  <c r="G185" i="2"/>
  <c r="H185" i="2" s="1"/>
  <c r="H182" i="2"/>
  <c r="G179" i="2"/>
  <c r="K177" i="2"/>
  <c r="F177" i="2"/>
  <c r="L176" i="2"/>
  <c r="L177" i="2" s="1"/>
  <c r="L178" i="2" s="1"/>
  <c r="I176" i="2"/>
  <c r="H176" i="2"/>
  <c r="H177" i="2" s="1"/>
  <c r="G176" i="2"/>
  <c r="G177" i="2" s="1"/>
  <c r="G178" i="2" s="1"/>
  <c r="G170" i="2"/>
  <c r="G171" i="2" s="1"/>
  <c r="F170" i="2"/>
  <c r="I169" i="2"/>
  <c r="I168" i="2"/>
  <c r="I167" i="2"/>
  <c r="I166" i="2"/>
  <c r="I165" i="2"/>
  <c r="I164" i="2"/>
  <c r="I170" i="2" s="1"/>
  <c r="I171" i="2" s="1"/>
  <c r="H160" i="2"/>
  <c r="H161" i="2" s="1"/>
  <c r="G160" i="2"/>
  <c r="G161" i="2" s="1"/>
  <c r="F160" i="2"/>
  <c r="I159" i="2"/>
  <c r="I158" i="2"/>
  <c r="I157" i="2"/>
  <c r="I156" i="2"/>
  <c r="I155" i="2"/>
  <c r="I160" i="2" s="1"/>
  <c r="I161" i="2" s="1"/>
  <c r="I154" i="2"/>
  <c r="H148" i="2"/>
  <c r="H149" i="2" s="1"/>
  <c r="G148" i="2"/>
  <c r="G149" i="2" s="1"/>
  <c r="F148" i="2"/>
  <c r="I147" i="2"/>
  <c r="I146" i="2"/>
  <c r="I145" i="2"/>
  <c r="I144" i="2"/>
  <c r="I143" i="2"/>
  <c r="I148" i="2" s="1"/>
  <c r="I142" i="2"/>
  <c r="G138" i="2"/>
  <c r="F138" i="2"/>
  <c r="H137" i="2"/>
  <c r="H136" i="2"/>
  <c r="H135" i="2"/>
  <c r="H134" i="2"/>
  <c r="H138" i="2" s="1"/>
  <c r="G132" i="2"/>
  <c r="F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32" i="2" s="1"/>
  <c r="F116" i="2"/>
  <c r="F115" i="2"/>
  <c r="I114" i="2"/>
  <c r="I115" i="2" s="1"/>
  <c r="F114" i="2"/>
  <c r="G110" i="2"/>
  <c r="I110" i="2" s="1"/>
  <c r="G107" i="2"/>
  <c r="I107" i="2" s="1"/>
  <c r="G106" i="2"/>
  <c r="H106" i="2" s="1"/>
  <c r="K100" i="2"/>
  <c r="K102" i="2" s="1"/>
  <c r="M97" i="2"/>
  <c r="M98" i="2" s="1"/>
  <c r="L97" i="2"/>
  <c r="L100" i="2" s="1"/>
  <c r="K97" i="2"/>
  <c r="K98" i="2" s="1"/>
  <c r="J97" i="2"/>
  <c r="J100" i="2" s="1"/>
  <c r="H97" i="2"/>
  <c r="H98" i="2" s="1"/>
  <c r="G97" i="2"/>
  <c r="F97" i="2"/>
  <c r="I96" i="2"/>
  <c r="I95" i="2"/>
  <c r="I94" i="2"/>
  <c r="I93" i="2"/>
  <c r="I92" i="2"/>
  <c r="I91" i="2"/>
  <c r="I97" i="2" s="1"/>
  <c r="J88" i="2"/>
  <c r="G88" i="2"/>
  <c r="J87" i="2"/>
  <c r="I87" i="2"/>
  <c r="I88" i="2" s="1"/>
  <c r="H87" i="2"/>
  <c r="H88" i="2" s="1"/>
  <c r="G87" i="2"/>
  <c r="F87" i="2"/>
  <c r="I80" i="2"/>
  <c r="I78" i="2"/>
  <c r="H78" i="2"/>
  <c r="H80" i="2" s="1"/>
  <c r="F78" i="2"/>
  <c r="I79" i="2" s="1"/>
  <c r="J77" i="2"/>
  <c r="I77" i="2"/>
  <c r="H77" i="2"/>
  <c r="G77" i="2"/>
  <c r="G78" i="2" s="1"/>
  <c r="F77" i="2"/>
  <c r="G345" i="2" s="1"/>
  <c r="H345" i="2" s="1"/>
  <c r="I345" i="2" s="1"/>
  <c r="J76" i="2"/>
  <c r="J78" i="2" s="1"/>
  <c r="I76" i="2"/>
  <c r="H76" i="2"/>
  <c r="G76" i="2"/>
  <c r="F76" i="2"/>
  <c r="G344" i="2" s="1"/>
  <c r="J72" i="2"/>
  <c r="I72" i="2"/>
  <c r="G72" i="2"/>
  <c r="G73" i="2" s="1"/>
  <c r="J71" i="2"/>
  <c r="I71" i="2"/>
  <c r="H71" i="2"/>
  <c r="H72" i="2" s="1"/>
  <c r="G71" i="2"/>
  <c r="F71" i="2"/>
  <c r="J70" i="2"/>
  <c r="I70" i="2"/>
  <c r="H70" i="2"/>
  <c r="G70" i="2"/>
  <c r="F70" i="2"/>
  <c r="F72" i="2" s="1"/>
  <c r="P65" i="2"/>
  <c r="J65" i="2"/>
  <c r="I65" i="2"/>
  <c r="H65" i="2"/>
  <c r="H66" i="2" s="1"/>
  <c r="H67" i="2" s="1"/>
  <c r="G65" i="2"/>
  <c r="F65" i="2"/>
  <c r="P64" i="2"/>
  <c r="J64" i="2"/>
  <c r="J66" i="2" s="1"/>
  <c r="J67" i="2" s="1"/>
  <c r="I64" i="2"/>
  <c r="I66" i="2" s="1"/>
  <c r="H64" i="2"/>
  <c r="G64" i="2"/>
  <c r="G66" i="2" s="1"/>
  <c r="F64" i="2"/>
  <c r="F66" i="2" s="1"/>
  <c r="P63" i="2"/>
  <c r="J60" i="2"/>
  <c r="I60" i="2"/>
  <c r="H60" i="2"/>
  <c r="G60" i="2"/>
  <c r="G61" i="2" s="1"/>
  <c r="F60" i="2"/>
  <c r="J61" i="2" s="1"/>
  <c r="G52" i="2"/>
  <c r="H49" i="2"/>
  <c r="G49" i="2"/>
  <c r="G50" i="2" s="1"/>
  <c r="F49" i="2"/>
  <c r="F53" i="2" s="1"/>
  <c r="G53" i="2" s="1"/>
  <c r="I48" i="2"/>
  <c r="I47" i="2"/>
  <c r="I46" i="2"/>
  <c r="I45" i="2"/>
  <c r="I44" i="2"/>
  <c r="I43" i="2"/>
  <c r="I49" i="2" s="1"/>
  <c r="J39" i="2"/>
  <c r="G39" i="2"/>
  <c r="J38" i="2"/>
  <c r="J114" i="2" s="1"/>
  <c r="I38" i="2"/>
  <c r="I39" i="2" s="1"/>
  <c r="H38" i="2"/>
  <c r="G108" i="2" s="1"/>
  <c r="G38" i="2"/>
  <c r="G114" i="2" s="1"/>
  <c r="F38" i="2"/>
  <c r="L37" i="2"/>
  <c r="L35" i="2"/>
  <c r="L34" i="2"/>
  <c r="L33" i="2"/>
  <c r="H29" i="2"/>
  <c r="H25" i="2"/>
  <c r="G26" i="2" s="1"/>
  <c r="G25" i="2"/>
  <c r="H24" i="2"/>
  <c r="H23" i="2"/>
  <c r="F25" i="2"/>
  <c r="F19" i="2"/>
  <c r="H18" i="2"/>
  <c r="G19" i="2"/>
  <c r="L11" i="2"/>
  <c r="K11" i="2"/>
  <c r="J11" i="2"/>
  <c r="I11" i="2"/>
  <c r="F11" i="2"/>
  <c r="F13" i="2" s="1"/>
  <c r="H10" i="2"/>
  <c r="H9" i="2"/>
  <c r="H8" i="2"/>
  <c r="G7" i="2"/>
  <c r="H7" i="2" s="1"/>
  <c r="H11" i="2" s="1"/>
  <c r="H6" i="2"/>
  <c r="H5" i="2"/>
  <c r="L32" i="2" s="1"/>
  <c r="H230" i="1"/>
  <c r="J386" i="1"/>
  <c r="F395" i="1"/>
  <c r="F402" i="1"/>
  <c r="J379" i="1"/>
  <c r="G375" i="2" l="1"/>
  <c r="H365" i="2"/>
  <c r="G365" i="2"/>
  <c r="F26" i="2"/>
  <c r="I100" i="2"/>
  <c r="I98" i="2"/>
  <c r="I316" i="2"/>
  <c r="I317" i="2" s="1"/>
  <c r="H317" i="2"/>
  <c r="J115" i="2"/>
  <c r="J116" i="2"/>
  <c r="H253" i="2"/>
  <c r="H252" i="2"/>
  <c r="J73" i="2"/>
  <c r="I73" i="2"/>
  <c r="J12" i="2"/>
  <c r="I12" i="2"/>
  <c r="K12" i="2"/>
  <c r="L12" i="2"/>
  <c r="H13" i="2"/>
  <c r="G67" i="2"/>
  <c r="H73" i="2"/>
  <c r="G346" i="2"/>
  <c r="H344" i="2"/>
  <c r="G79" i="2"/>
  <c r="G80" i="2"/>
  <c r="J102" i="2"/>
  <c r="J103" i="2"/>
  <c r="K382" i="2"/>
  <c r="K384" i="2"/>
  <c r="K387" i="2"/>
  <c r="I384" i="2"/>
  <c r="K381" i="2"/>
  <c r="K385" i="2"/>
  <c r="K389" i="2"/>
  <c r="K383" i="2"/>
  <c r="K380" i="2"/>
  <c r="K388" i="2"/>
  <c r="G406" i="2"/>
  <c r="I395" i="2"/>
  <c r="I406" i="2" s="1"/>
  <c r="I242" i="2"/>
  <c r="G243" i="2"/>
  <c r="I379" i="2"/>
  <c r="I390" i="2" s="1"/>
  <c r="J79" i="2"/>
  <c r="J80" i="2"/>
  <c r="G116" i="2"/>
  <c r="G115" i="2"/>
  <c r="I51" i="2"/>
  <c r="I50" i="2"/>
  <c r="I52" i="2" s="1"/>
  <c r="H26" i="2"/>
  <c r="H108" i="2"/>
  <c r="I108" i="2"/>
  <c r="I67" i="2"/>
  <c r="L102" i="2"/>
  <c r="L103" i="2"/>
  <c r="G219" i="2"/>
  <c r="H218" i="2"/>
  <c r="H219" i="2" s="1"/>
  <c r="G234" i="2"/>
  <c r="F207" i="2"/>
  <c r="G208" i="2" s="1"/>
  <c r="H206" i="2"/>
  <c r="H207" i="2" s="1"/>
  <c r="J259" i="2"/>
  <c r="G81" i="2"/>
  <c r="H81" i="2" s="1"/>
  <c r="I106" i="2"/>
  <c r="H100" i="2"/>
  <c r="G109" i="2"/>
  <c r="M176" i="2"/>
  <c r="M177" i="2" s="1"/>
  <c r="F201" i="2"/>
  <c r="F218" i="2"/>
  <c r="F243" i="2"/>
  <c r="F295" i="2"/>
  <c r="F296" i="2" s="1"/>
  <c r="H396" i="2"/>
  <c r="H395" i="2" s="1"/>
  <c r="G402" i="2"/>
  <c r="H39" i="2"/>
  <c r="K103" i="2"/>
  <c r="H107" i="2"/>
  <c r="I116" i="2"/>
  <c r="G201" i="2"/>
  <c r="G202" i="2" s="1"/>
  <c r="H313" i="2"/>
  <c r="H336" i="2"/>
  <c r="H379" i="2"/>
  <c r="I396" i="2"/>
  <c r="I400" i="2"/>
  <c r="G11" i="2"/>
  <c r="G13" i="2" s="1"/>
  <c r="H200" i="2"/>
  <c r="H201" i="2" s="1"/>
  <c r="F80" i="2"/>
  <c r="J98" i="2"/>
  <c r="H114" i="2"/>
  <c r="H79" i="2"/>
  <c r="G251" i="2"/>
  <c r="G252" i="2" s="1"/>
  <c r="G253" i="2" s="1"/>
  <c r="G456" i="2"/>
  <c r="H61" i="2"/>
  <c r="I61" i="2"/>
  <c r="L98" i="2"/>
  <c r="H110" i="2"/>
  <c r="H403" i="2"/>
  <c r="H402" i="2" s="1"/>
  <c r="F242" i="1"/>
  <c r="I109" i="2" l="1"/>
  <c r="H109" i="2"/>
  <c r="I102" i="2"/>
  <c r="I103" i="2"/>
  <c r="G235" i="2"/>
  <c r="F234" i="2"/>
  <c r="F235" i="2" s="1"/>
  <c r="F219" i="2"/>
  <c r="G220" i="2" s="1"/>
  <c r="H406" i="2"/>
  <c r="H102" i="2"/>
  <c r="H103" i="2"/>
  <c r="H116" i="2"/>
  <c r="H115" i="2"/>
  <c r="K379" i="2"/>
  <c r="K390" i="2" s="1"/>
  <c r="K386" i="2"/>
  <c r="H346" i="2"/>
  <c r="I344" i="2"/>
  <c r="G17" i="1"/>
  <c r="F23" i="1"/>
  <c r="G236" i="2" l="1"/>
  <c r="H234" i="2"/>
  <c r="H235" i="2" s="1"/>
  <c r="J60" i="1"/>
  <c r="J223" i="1" l="1"/>
  <c r="L223" i="1" s="1"/>
  <c r="G64" i="1" l="1"/>
  <c r="G19" i="1"/>
  <c r="F19" i="1"/>
  <c r="H18" i="1"/>
  <c r="H17" i="1"/>
  <c r="H19" i="1" l="1"/>
  <c r="G403" i="1"/>
  <c r="I403" i="1" s="1"/>
  <c r="I402" i="1" s="1"/>
  <c r="H64" i="1" l="1"/>
  <c r="I64" i="1"/>
  <c r="J64" i="1"/>
  <c r="G65" i="1"/>
  <c r="H65" i="1"/>
  <c r="I65" i="1"/>
  <c r="J65" i="1"/>
  <c r="I93" i="1" l="1"/>
  <c r="I92" i="1"/>
  <c r="I91" i="1"/>
  <c r="G465" i="1" l="1"/>
  <c r="F465" i="1"/>
  <c r="H455" i="1"/>
  <c r="G455" i="1"/>
  <c r="F455" i="1"/>
  <c r="F432" i="1"/>
  <c r="H210" i="1" l="1"/>
  <c r="G38" i="1" l="1"/>
  <c r="G114" i="1" s="1"/>
  <c r="H29" i="1"/>
  <c r="J97" i="1" l="1"/>
  <c r="K97" i="1"/>
  <c r="G405" i="1" l="1"/>
  <c r="G404" i="1"/>
  <c r="N192" i="1"/>
  <c r="G218" i="1" l="1"/>
  <c r="G234" i="1" s="1"/>
  <c r="G200" i="1"/>
  <c r="G206" i="1"/>
  <c r="G70" i="1"/>
  <c r="G71" i="1"/>
  <c r="G76" i="1"/>
  <c r="G77" i="1"/>
  <c r="M369" i="1"/>
  <c r="E242" i="1" l="1"/>
  <c r="G425" i="1"/>
  <c r="G401" i="1" l="1"/>
  <c r="I401" i="1" s="1"/>
  <c r="G400" i="1"/>
  <c r="I400" i="1" s="1"/>
  <c r="G396" i="1"/>
  <c r="I396" i="1" s="1"/>
  <c r="H401" i="1" l="1"/>
  <c r="H400" i="1"/>
  <c r="F419" i="1" l="1"/>
  <c r="G413" i="1"/>
  <c r="H405" i="1" l="1"/>
  <c r="H404" i="1"/>
  <c r="H403" i="1"/>
  <c r="H402" i="1" s="1"/>
  <c r="H399" i="1"/>
  <c r="H398" i="1"/>
  <c r="H397" i="1"/>
  <c r="H396" i="1"/>
  <c r="G402" i="1"/>
  <c r="G395" i="1"/>
  <c r="F251" i="1"/>
  <c r="G386" i="1"/>
  <c r="H389" i="1"/>
  <c r="H388" i="1"/>
  <c r="H387" i="1"/>
  <c r="H385" i="1"/>
  <c r="H384" i="1"/>
  <c r="H383" i="1"/>
  <c r="H382" i="1"/>
  <c r="H381" i="1"/>
  <c r="H380" i="1"/>
  <c r="G379" i="1"/>
  <c r="F386" i="1"/>
  <c r="F379" i="1"/>
  <c r="I395" i="1" l="1"/>
  <c r="I406" i="1" s="1"/>
  <c r="H386" i="1"/>
  <c r="H379" i="1"/>
  <c r="F406" i="1"/>
  <c r="F390" i="1"/>
  <c r="H390" i="1" s="1"/>
  <c r="K388" i="1" s="1"/>
  <c r="J390" i="1"/>
  <c r="G406" i="1"/>
  <c r="H395" i="1"/>
  <c r="N369" i="1"/>
  <c r="N370" i="1"/>
  <c r="M370" i="1"/>
  <c r="N368" i="1"/>
  <c r="M368" i="1"/>
  <c r="I384" i="1" l="1"/>
  <c r="K384" i="1"/>
  <c r="K387" i="1"/>
  <c r="K380" i="1"/>
  <c r="K382" i="1"/>
  <c r="K381" i="1"/>
  <c r="K389" i="1"/>
  <c r="K383" i="1"/>
  <c r="H406" i="1"/>
  <c r="N371" i="1"/>
  <c r="M371" i="1"/>
  <c r="I387" i="1"/>
  <c r="I386" i="1" s="1"/>
  <c r="I380" i="1"/>
  <c r="K385" i="1"/>
  <c r="L371" i="1"/>
  <c r="K371" i="1"/>
  <c r="I379" i="1" l="1"/>
  <c r="I390" i="1" s="1"/>
  <c r="K386" i="1"/>
  <c r="K379" i="1"/>
  <c r="I45" i="1"/>
  <c r="I44" i="1"/>
  <c r="I43" i="1"/>
  <c r="K390" i="1" l="1"/>
  <c r="J38" i="1" l="1"/>
  <c r="J196" i="1" l="1"/>
  <c r="G60" i="1" l="1"/>
  <c r="F70" i="1"/>
  <c r="H70" i="1"/>
  <c r="I70" i="1"/>
  <c r="J70" i="1"/>
  <c r="F71" i="1"/>
  <c r="H71" i="1"/>
  <c r="I71" i="1"/>
  <c r="J71" i="1"/>
  <c r="F76" i="1"/>
  <c r="G344" i="1" s="1"/>
  <c r="F77" i="1"/>
  <c r="G345" i="1" s="1"/>
  <c r="H97" i="1" l="1"/>
  <c r="G97" i="1"/>
  <c r="F97" i="1"/>
  <c r="L97" i="1"/>
  <c r="I38" i="1"/>
  <c r="H38" i="1"/>
  <c r="L98" i="1" l="1"/>
  <c r="H98" i="1"/>
  <c r="J98" i="1"/>
  <c r="K98" i="1"/>
  <c r="G374" i="1"/>
  <c r="F374" i="1"/>
  <c r="H364" i="1"/>
  <c r="G364" i="1"/>
  <c r="F364" i="1"/>
  <c r="G346" i="1"/>
  <c r="F346" i="1"/>
  <c r="H345" i="1"/>
  <c r="I345" i="1" s="1"/>
  <c r="H344" i="1"/>
  <c r="G336" i="1"/>
  <c r="F336" i="1"/>
  <c r="H335" i="1"/>
  <c r="I335" i="1" s="1"/>
  <c r="H334" i="1"/>
  <c r="I334" i="1" s="1"/>
  <c r="G329" i="1"/>
  <c r="F329" i="1"/>
  <c r="H328" i="1"/>
  <c r="H327" i="1"/>
  <c r="G316" i="1"/>
  <c r="G317" i="1" s="1"/>
  <c r="F316" i="1"/>
  <c r="G312" i="1"/>
  <c r="G313" i="1" s="1"/>
  <c r="F312" i="1"/>
  <c r="G309" i="1"/>
  <c r="F309" i="1"/>
  <c r="E308" i="1"/>
  <c r="F294" i="1"/>
  <c r="F295" i="1" s="1"/>
  <c r="F296" i="1" s="1"/>
  <c r="I287" i="1"/>
  <c r="H287" i="1"/>
  <c r="I286" i="1"/>
  <c r="H286" i="1"/>
  <c r="G285" i="1"/>
  <c r="I285" i="1" s="1"/>
  <c r="G279" i="1"/>
  <c r="F279" i="1"/>
  <c r="G278" i="1"/>
  <c r="F278" i="1"/>
  <c r="G275" i="1"/>
  <c r="F275" i="1"/>
  <c r="H274" i="1"/>
  <c r="H273" i="1"/>
  <c r="I269" i="1"/>
  <c r="J269" i="1" s="1"/>
  <c r="G265" i="1"/>
  <c r="F265" i="1"/>
  <c r="H264" i="1"/>
  <c r="J264" i="1" s="1"/>
  <c r="H263" i="1"/>
  <c r="J263" i="1" s="1"/>
  <c r="I259" i="1"/>
  <c r="G259" i="1"/>
  <c r="F259" i="1"/>
  <c r="H258" i="1"/>
  <c r="J258" i="1" s="1"/>
  <c r="H257" i="1"/>
  <c r="J257" i="1" s="1"/>
  <c r="F252" i="1"/>
  <c r="G251" i="1"/>
  <c r="G252" i="1" s="1"/>
  <c r="F238" i="1"/>
  <c r="F237" i="1"/>
  <c r="F200" i="1"/>
  <c r="F201" i="1" s="1"/>
  <c r="G195" i="1"/>
  <c r="F195" i="1"/>
  <c r="H194" i="1"/>
  <c r="H195" i="1" s="1"/>
  <c r="K193" i="1"/>
  <c r="G185" i="1" s="1"/>
  <c r="L176" i="1" s="1"/>
  <c r="H182" i="1"/>
  <c r="K177" i="1"/>
  <c r="F177" i="1"/>
  <c r="G176" i="1"/>
  <c r="I176" i="1" s="1"/>
  <c r="G170" i="1"/>
  <c r="F170" i="1"/>
  <c r="I169" i="1"/>
  <c r="I168" i="1"/>
  <c r="I167" i="1"/>
  <c r="I166" i="1"/>
  <c r="I165" i="1"/>
  <c r="I164" i="1"/>
  <c r="H160" i="1"/>
  <c r="G160" i="1"/>
  <c r="F160" i="1"/>
  <c r="I159" i="1"/>
  <c r="I158" i="1"/>
  <c r="I157" i="1"/>
  <c r="I156" i="1"/>
  <c r="I155" i="1"/>
  <c r="I154" i="1"/>
  <c r="H148" i="1"/>
  <c r="G148" i="1"/>
  <c r="F148" i="1"/>
  <c r="I147" i="1"/>
  <c r="I146" i="1"/>
  <c r="I145" i="1"/>
  <c r="I144" i="1"/>
  <c r="I143" i="1"/>
  <c r="I142" i="1"/>
  <c r="G138" i="1"/>
  <c r="F138" i="1"/>
  <c r="H137" i="1"/>
  <c r="H136" i="1"/>
  <c r="H135" i="1"/>
  <c r="H134" i="1"/>
  <c r="G132" i="1"/>
  <c r="F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J114" i="1"/>
  <c r="I114" i="1"/>
  <c r="I116" i="1" s="1"/>
  <c r="H114" i="1"/>
  <c r="H116" i="1" s="1"/>
  <c r="G116" i="1"/>
  <c r="G110" i="1"/>
  <c r="I110" i="1" s="1"/>
  <c r="G109" i="1"/>
  <c r="I109" i="1" s="1"/>
  <c r="G108" i="1"/>
  <c r="I108" i="1" s="1"/>
  <c r="G107" i="1"/>
  <c r="H107" i="1" s="1"/>
  <c r="M97" i="1"/>
  <c r="M98" i="1" s="1"/>
  <c r="L100" i="1"/>
  <c r="K100" i="1"/>
  <c r="J100" i="1"/>
  <c r="H100" i="1"/>
  <c r="I96" i="1"/>
  <c r="I95" i="1"/>
  <c r="I94" i="1"/>
  <c r="J87" i="1"/>
  <c r="I87" i="1"/>
  <c r="H87" i="1"/>
  <c r="G87" i="1"/>
  <c r="F87" i="1"/>
  <c r="J77" i="1"/>
  <c r="I77" i="1"/>
  <c r="H77" i="1"/>
  <c r="J76" i="1"/>
  <c r="I76" i="1"/>
  <c r="H76" i="1"/>
  <c r="F78" i="1"/>
  <c r="P65" i="1"/>
  <c r="F65" i="1"/>
  <c r="P64" i="1"/>
  <c r="F64" i="1"/>
  <c r="P63" i="1"/>
  <c r="I60" i="1"/>
  <c r="H60" i="1"/>
  <c r="F60" i="1"/>
  <c r="G52" i="1"/>
  <c r="H49" i="1"/>
  <c r="F38" i="1"/>
  <c r="G39" i="1" s="1"/>
  <c r="L34" i="1"/>
  <c r="G25" i="1"/>
  <c r="F25" i="1"/>
  <c r="H24" i="1"/>
  <c r="H23" i="1"/>
  <c r="L11" i="1"/>
  <c r="K11" i="1"/>
  <c r="J11" i="1"/>
  <c r="I11" i="1"/>
  <c r="F11" i="1"/>
  <c r="F13" i="1" s="1"/>
  <c r="H10" i="1"/>
  <c r="L37" i="1" s="1"/>
  <c r="H9" i="1"/>
  <c r="L35" i="1" s="1"/>
  <c r="H8" i="1"/>
  <c r="G7" i="1"/>
  <c r="H7" i="1" s="1"/>
  <c r="H6" i="1"/>
  <c r="L33" i="1" s="1"/>
  <c r="H5" i="1"/>
  <c r="L32" i="1" s="1"/>
  <c r="G456" i="1" l="1"/>
  <c r="H456" i="1"/>
  <c r="H316" i="1"/>
  <c r="I316" i="1" s="1"/>
  <c r="I317" i="1" s="1"/>
  <c r="J66" i="1"/>
  <c r="H149" i="1"/>
  <c r="G196" i="1"/>
  <c r="G149" i="1"/>
  <c r="G171" i="1"/>
  <c r="G238" i="1"/>
  <c r="H285" i="1"/>
  <c r="G280" i="1"/>
  <c r="H312" i="1"/>
  <c r="H313" i="1" s="1"/>
  <c r="H275" i="1"/>
  <c r="F206" i="1"/>
  <c r="F218" i="1"/>
  <c r="G207" i="1"/>
  <c r="H365" i="1"/>
  <c r="G365" i="1"/>
  <c r="H346" i="1"/>
  <c r="F317" i="1"/>
  <c r="H161" i="1"/>
  <c r="G88" i="1"/>
  <c r="G161" i="1"/>
  <c r="H138" i="1"/>
  <c r="G61" i="1"/>
  <c r="H78" i="1"/>
  <c r="H79" i="1" s="1"/>
  <c r="J88" i="1"/>
  <c r="J259" i="1"/>
  <c r="I97" i="1"/>
  <c r="I48" i="1"/>
  <c r="H66" i="1"/>
  <c r="F280" i="1"/>
  <c r="G375" i="1"/>
  <c r="I46" i="1"/>
  <c r="J78" i="1"/>
  <c r="J79" i="1" s="1"/>
  <c r="G78" i="1"/>
  <c r="G79" i="1" s="1"/>
  <c r="L177" i="1"/>
  <c r="L178" i="1" s="1"/>
  <c r="M176" i="1"/>
  <c r="M177" i="1" s="1"/>
  <c r="I47" i="1"/>
  <c r="I88" i="1"/>
  <c r="G253" i="1"/>
  <c r="G314" i="1"/>
  <c r="F49" i="1"/>
  <c r="F53" i="1" s="1"/>
  <c r="G53" i="1" s="1"/>
  <c r="H185" i="1"/>
  <c r="F313" i="1"/>
  <c r="I344" i="1"/>
  <c r="H11" i="1"/>
  <c r="J12" i="1" s="1"/>
  <c r="F260" i="1"/>
  <c r="I170" i="1"/>
  <c r="I171" i="1" s="1"/>
  <c r="G115" i="1"/>
  <c r="H265" i="1"/>
  <c r="I148" i="1"/>
  <c r="G49" i="1"/>
  <c r="H61" i="1"/>
  <c r="F72" i="1"/>
  <c r="F80" i="1" s="1"/>
  <c r="I115" i="1"/>
  <c r="I61" i="1"/>
  <c r="J61" i="1"/>
  <c r="H329" i="1"/>
  <c r="H25" i="1"/>
  <c r="F66" i="1"/>
  <c r="H132" i="1"/>
  <c r="I160" i="1"/>
  <c r="I161" i="1" s="1"/>
  <c r="F314" i="1"/>
  <c r="H88" i="1"/>
  <c r="H72" i="1"/>
  <c r="I78" i="1"/>
  <c r="I79" i="1" s="1"/>
  <c r="J72" i="1"/>
  <c r="I66" i="1"/>
  <c r="I72" i="1"/>
  <c r="H251" i="1"/>
  <c r="H253" i="1" s="1"/>
  <c r="G66" i="1"/>
  <c r="H115" i="1"/>
  <c r="H110" i="1"/>
  <c r="J116" i="1"/>
  <c r="H108" i="1"/>
  <c r="J103" i="1"/>
  <c r="J102" i="1"/>
  <c r="F114" i="1"/>
  <c r="G106" i="1"/>
  <c r="J39" i="1"/>
  <c r="I39" i="1"/>
  <c r="H39" i="1"/>
  <c r="K102" i="1"/>
  <c r="K103" i="1"/>
  <c r="G81" i="1"/>
  <c r="H81" i="1" s="1"/>
  <c r="L102" i="1"/>
  <c r="L103" i="1"/>
  <c r="G11" i="1"/>
  <c r="G13" i="1" s="1"/>
  <c r="G72" i="1"/>
  <c r="H102" i="1"/>
  <c r="H103" i="1"/>
  <c r="H109" i="1"/>
  <c r="G177" i="1"/>
  <c r="G178" i="1" s="1"/>
  <c r="H309" i="1"/>
  <c r="I107" i="1"/>
  <c r="J115" i="1"/>
  <c r="H176" i="1"/>
  <c r="H177" i="1" s="1"/>
  <c r="G179" i="1"/>
  <c r="H336" i="1"/>
  <c r="F298" i="1"/>
  <c r="H259" i="1"/>
  <c r="F219" i="1" l="1"/>
  <c r="F234" i="1"/>
  <c r="G235" i="1"/>
  <c r="H317" i="1"/>
  <c r="F207" i="1"/>
  <c r="G208" i="1" s="1"/>
  <c r="H206" i="1"/>
  <c r="H207" i="1" s="1"/>
  <c r="I100" i="1"/>
  <c r="I102" i="1" s="1"/>
  <c r="I98" i="1"/>
  <c r="I312" i="1"/>
  <c r="I313" i="1" s="1"/>
  <c r="H314" i="1"/>
  <c r="G219" i="1"/>
  <c r="H218" i="1"/>
  <c r="H219" i="1" s="1"/>
  <c r="G26" i="1"/>
  <c r="G50" i="1"/>
  <c r="H67" i="1"/>
  <c r="G67" i="1"/>
  <c r="H80" i="1"/>
  <c r="G73" i="1"/>
  <c r="I12" i="1"/>
  <c r="J80" i="1"/>
  <c r="I49" i="1"/>
  <c r="I50" i="1" s="1"/>
  <c r="I52" i="1" s="1"/>
  <c r="J73" i="1"/>
  <c r="J67" i="1"/>
  <c r="I73" i="1"/>
  <c r="I67" i="1"/>
  <c r="H13" i="1"/>
  <c r="K12" i="1"/>
  <c r="H73" i="1"/>
  <c r="F26" i="1"/>
  <c r="L12" i="1"/>
  <c r="I80" i="1"/>
  <c r="H252" i="1"/>
  <c r="G80" i="1"/>
  <c r="G201" i="1"/>
  <c r="G202" i="1" s="1"/>
  <c r="H200" i="1"/>
  <c r="H201" i="1" s="1"/>
  <c r="I106" i="1"/>
  <c r="H106" i="1"/>
  <c r="F115" i="1"/>
  <c r="F116" i="1"/>
  <c r="F235" i="1" l="1"/>
  <c r="G236" i="1" s="1"/>
  <c r="H234" i="1"/>
  <c r="H235" i="1" s="1"/>
  <c r="G220" i="1"/>
  <c r="I103" i="1"/>
  <c r="H26" i="1"/>
  <c r="I51" i="1"/>
  <c r="G242" i="1"/>
  <c r="F243" i="1"/>
  <c r="I242" i="1" l="1"/>
  <c r="G243" i="1"/>
</calcChain>
</file>

<file path=xl/sharedStrings.xml><?xml version="1.0" encoding="utf-8"?>
<sst xmlns="http://schemas.openxmlformats.org/spreadsheetml/2006/main" count="1120" uniqueCount="244">
  <si>
    <t>7,385,639,071 2,349,835,674</t>
  </si>
  <si>
    <t>4,135,446,597</t>
  </si>
  <si>
    <t>1,474,286,231 1,200,000,000</t>
  </si>
  <si>
    <t>18,334,000.00 31,020,000</t>
  </si>
  <si>
    <t>851,852,208 1,900,278,729</t>
  </si>
  <si>
    <t>PRESUPUESTO ASIGINADO 2020</t>
  </si>
  <si>
    <t>APROPIADO NACIÓN</t>
  </si>
  <si>
    <t>APROPIADO PROPIOS</t>
  </si>
  <si>
    <t>TOTAL APROPIADO</t>
  </si>
  <si>
    <t>CDP</t>
  </si>
  <si>
    <t>COMPROMISOS</t>
  </si>
  <si>
    <t>OBLIGACIONES</t>
  </si>
  <si>
    <t>PAGOS</t>
  </si>
  <si>
    <t>GASTOS DE PERSONAL</t>
  </si>
  <si>
    <t>GASTOS GENERALES</t>
  </si>
  <si>
    <t>TRANSFERENCIAS</t>
  </si>
  <si>
    <t>GASTOS POR TRIBUTOS, MULTAS , SANCIONES E INTERES DE MORA</t>
  </si>
  <si>
    <t>GTOS COMERCIALIZ</t>
  </si>
  <si>
    <t>INVERSIÓN</t>
  </si>
  <si>
    <t>TOTAL PRESUPUESTO</t>
  </si>
  <si>
    <t>% EJECUCIÓN</t>
  </si>
  <si>
    <t>DIFERENCIA</t>
  </si>
  <si>
    <t>CONCEPTO</t>
  </si>
  <si>
    <t>APORTES NACIONAL</t>
  </si>
  <si>
    <t xml:space="preserve">RECURSOS PROPIOS </t>
  </si>
  <si>
    <t>TOTAL</t>
  </si>
  <si>
    <t>PRESUPUESTO FUNCIONAMIENTO</t>
  </si>
  <si>
    <t xml:space="preserve">PRESUPUESTO DE INVERSION </t>
  </si>
  <si>
    <t>%</t>
  </si>
  <si>
    <t>LLENAR</t>
  </si>
  <si>
    <t>APROPIACIÓN VIGENTE</t>
  </si>
  <si>
    <t>NOVIEMBRE</t>
  </si>
  <si>
    <t>ADQUISICIÓN DE BIENES Y SERVICIOS</t>
  </si>
  <si>
    <t>TRANSFERENCIAS CORRIENTES</t>
  </si>
  <si>
    <t>GTOS COMERCIALIZACIÓN Y PRODUCCIÓN</t>
  </si>
  <si>
    <t>IMPUESTOS Y MULTAS</t>
  </si>
  <si>
    <t>APROPIACIÓN BLOQUEADA</t>
  </si>
  <si>
    <t>APROPIACIÓN DISPONIBLE</t>
  </si>
  <si>
    <t>APROPIACIÓN A UTILIZAR SIN 1200 MILLONES</t>
  </si>
  <si>
    <t>APROPIADO</t>
  </si>
  <si>
    <t>FUNCIONAMIENTO  NACIÓN</t>
  </si>
  <si>
    <t>FUNCIONAMIENTO  PROPIOS</t>
  </si>
  <si>
    <t>INVERSIÓN NACIÓN</t>
  </si>
  <si>
    <t>INVERSIÓN PROPIOS</t>
  </si>
  <si>
    <t>PRESUPUESTO 2021</t>
  </si>
  <si>
    <t>INVERSION BIENESTAR</t>
  </si>
  <si>
    <t xml:space="preserve">FUNCIONAMIENTO </t>
  </si>
  <si>
    <t>formulas</t>
  </si>
  <si>
    <t>INVERSION INVESTIACIÓN</t>
  </si>
  <si>
    <t>INVERSION INFRAESTRUCTURA</t>
  </si>
  <si>
    <t>FALTANTE POR EJECUTAR DE LA APROPACIÓN</t>
  </si>
  <si>
    <t>ESTE SERIA EL VALOR REAL</t>
  </si>
  <si>
    <t>PRESUPUESTO 2023 INVERSION</t>
  </si>
  <si>
    <t>INVERSION INVESTIGACIÓN</t>
  </si>
  <si>
    <t>INVERSION DOTACIÓN</t>
  </si>
  <si>
    <t>NOMBRE DEL PROYECTO</t>
  </si>
  <si>
    <t>APROPIACIÓN INICIAL</t>
  </si>
  <si>
    <t>APROPIACIÓN IN</t>
  </si>
  <si>
    <t>CONSTRUCCIÓN , REMODELACIÓN Y ADECUACIÓN DE LA INFRAESTRUCTURA FÍSICA DEL CAMPUS DEL INSTITUTO TOLIMENSE DE FORMACIÓN TÉCNICA PROFESIONAL "ITFIP" DE EL ESPINAL   TOLIMA</t>
  </si>
  <si>
    <t>CONSTRUCCIÓN Y MEJORAMIENTO DE ESCENARIOS ACADÉMICOS DEPORTIVOS, FORMATIVOS Y COMPETITIVOS EN EL INSTITUTO TOLIMENSE DE FORMACIÓN TÉCNICA PROFESIONAL "ITFIP" MUNICIPIO DE EL ESPINAL  TOLIMA</t>
  </si>
  <si>
    <t>FORTALECIMIENTO DE LOS PROGRAMAS DE BIENESTAR UNIVERSITARIO Y GESTIÓN ACADÉMICA EN EL INSTITUTO TOLIMENSE DE FORMACIÓN TÉCNICA PROFESIONAL "ITFIP" DE EL ESPINAL   TOLIMA</t>
  </si>
  <si>
    <t>DOTACIÓN Y MEJORAMIENTO DE LA INFRAESTRUCTURA TECNOLÓGICA, LOS RECURSOS EDUCATIVOS Y BIBLIOTECA Y LOS LABORATORIOS ACADÉMICOS DEL INSTITUTO DE TOLIMENSE FORMACIÓN TÉCNICA PROFESIONAL "ITFIP" DE EL ESPINAL   TOLIMA</t>
  </si>
  <si>
    <t>VARIACIÓN</t>
  </si>
  <si>
    <t>COMPARATIVO AÑO</t>
  </si>
  <si>
    <t>DICIEMBRE 2021</t>
  </si>
  <si>
    <t>EJECUCIÓN 2022/2023</t>
  </si>
  <si>
    <t>AÑO 2022</t>
  </si>
  <si>
    <t>VARIACIÓN %</t>
  </si>
  <si>
    <t xml:space="preserve">PRESUPUESTO </t>
  </si>
  <si>
    <t>FORMULA</t>
  </si>
  <si>
    <t>VARIACIÓN $</t>
  </si>
  <si>
    <t>PRESUPUESTO 2020 CIERRE</t>
  </si>
  <si>
    <t>APROPIACIÓN DISPONIBLE NACIÓN</t>
  </si>
  <si>
    <t>APROPIACIÓN DISPONIBLE PROPIOS</t>
  </si>
  <si>
    <t>SALARIO</t>
  </si>
  <si>
    <t>CONTRIBUCIONES INHERENTES A LA NÓMINA</t>
  </si>
  <si>
    <t>REMUNERACIONES NO CONSTITUTIVAS DE FACTOR SALARIAL</t>
  </si>
  <si>
    <t>ADQUISICIÓN DE ACTIVOS NO FINANCIEROS</t>
  </si>
  <si>
    <t>ADQUISICIONES DIFERENTES DE ACTIVOS</t>
  </si>
  <si>
    <t>TRANSFERENCIAS BIENESTAR UNIVERSITARIO (LEY 30 DE 1992)</t>
  </si>
  <si>
    <t>SENTENCIAS</t>
  </si>
  <si>
    <t>MATERIALES Y SUMINISTROS</t>
  </si>
  <si>
    <t>ADQUISICIÓN DE SERVICIOS</t>
  </si>
  <si>
    <t>IMPUESTOS</t>
  </si>
  <si>
    <t>FUNCIONAMIENTO</t>
  </si>
  <si>
    <t>INVERSION</t>
  </si>
  <si>
    <t>PRESUPUESTO 2019</t>
  </si>
  <si>
    <t>CDP SIN COMPROMETER</t>
  </si>
  <si>
    <t>GASTOS POR TRIBUTOS, MULTAS, SANCIONES E INTERESES DE MORA</t>
  </si>
  <si>
    <t>PRESUPUESTO 2020</t>
  </si>
  <si>
    <t>RESERVAS</t>
  </si>
  <si>
    <t>CUENTAS POR PAGAR</t>
  </si>
  <si>
    <t>PRESUPUESTO 2022</t>
  </si>
  <si>
    <t>RECAUDADO Y TRASLADADO A LA CUN</t>
  </si>
  <si>
    <t>FALTANTE</t>
  </si>
  <si>
    <t xml:space="preserve">INGRESOS </t>
  </si>
  <si>
    <t>PROYECCIÓN AL CIERRE SEPTIEMBRE/2022</t>
  </si>
  <si>
    <t>CONVENIOS : A2021</t>
  </si>
  <si>
    <t>PAGO</t>
  </si>
  <si>
    <t>GENERACIÓN E</t>
  </si>
  <si>
    <t>TOTAL INGRESOS CONVENIOS</t>
  </si>
  <si>
    <t>INGRESOS PENDIENTES DE CONVENIOS</t>
  </si>
  <si>
    <t>SALDO EN BANCOS AL CIERRE AGOSTO /22 SIN TRASLADAR A LA CUN</t>
  </si>
  <si>
    <t>TOTAL INGRESOS</t>
  </si>
  <si>
    <t>BANCO</t>
  </si>
  <si>
    <t>SALDO CUENTAS BANCARIAS</t>
  </si>
  <si>
    <t>SALDO RECAUDOS X CLASIFICAR</t>
  </si>
  <si>
    <t>BBVA CTA CTE 357008523</t>
  </si>
  <si>
    <t>BBVA CTA AH. 357352293</t>
  </si>
  <si>
    <t>BBVA CTA AH. 357000956</t>
  </si>
  <si>
    <t>PICHINCHA</t>
  </si>
  <si>
    <t>DAVIVIENDA</t>
  </si>
  <si>
    <t>AV VILLAS</t>
  </si>
  <si>
    <t>TOTAL SALDOS CUENTAS BANCARIAS</t>
  </si>
  <si>
    <t>RECAUDADO EJECUCIÓN DE INGRESOS</t>
  </si>
  <si>
    <t>PROYECCIÓN CON LOS RECAUDOS POR CLASIFICAR</t>
  </si>
  <si>
    <t>RECAUDADO EJECUCIÓN DE INGRESOS+ REC.X CLASIFICAR</t>
  </si>
  <si>
    <t xml:space="preserve">PROYECCIÓN </t>
  </si>
  <si>
    <t>SOBRANTE</t>
  </si>
  <si>
    <t>PROYECTADO A JUNIO</t>
  </si>
  <si>
    <t>RECAUDO DE INGRESOS</t>
  </si>
  <si>
    <t>COMPROMISOS EJECUCIÓN PRESUPUESTAL</t>
  </si>
  <si>
    <t>SALDO SIN COMPROMETER</t>
  </si>
  <si>
    <t>EXCEDENTES FINANCIEROS</t>
  </si>
  <si>
    <t>EJECUCIÓN</t>
  </si>
  <si>
    <t>PRESUPUESTO GASTOS 2020</t>
  </si>
  <si>
    <t>COMPROMETIDO</t>
  </si>
  <si>
    <t>SALDO SIN COMPROMETER PRESUPUESTAL</t>
  </si>
  <si>
    <t>VALOR APROPIADO GASTOS PROPIOS</t>
  </si>
  <si>
    <t>NACIÓN</t>
  </si>
  <si>
    <t>PROPIOS</t>
  </si>
  <si>
    <t>TOTAL RESERVAS SIIF</t>
  </si>
  <si>
    <t>RESERVAS INDUCIDAS QUE SON CXP</t>
  </si>
  <si>
    <t>TOTAL RESERVAS CONTABLEMENTE</t>
  </si>
  <si>
    <t>TOTAL FUNCIONAMIENTO</t>
  </si>
  <si>
    <t>TOTAL INVERSIÓN</t>
  </si>
  <si>
    <t>TOTAL  RESERVAS</t>
  </si>
  <si>
    <t xml:space="preserve">CUENTAS POR PAGAR </t>
  </si>
  <si>
    <t>TOTAL CXP inducidas</t>
  </si>
  <si>
    <t>TOTAL RESERVAS</t>
  </si>
  <si>
    <t>CXP INDUCIDAS A RESERVAS</t>
  </si>
  <si>
    <t>RESERVAS PRESUPUESTALES</t>
  </si>
  <si>
    <t xml:space="preserve">RESERVAS  CUENTAS POR PAGAR </t>
  </si>
  <si>
    <t>REZAGO 2020</t>
  </si>
  <si>
    <t>FUNCIONAMIENTO TOTAL</t>
  </si>
  <si>
    <t>INVERSION TOTAL</t>
  </si>
  <si>
    <t>Descripción</t>
  </si>
  <si>
    <t>AFORO INICIAL</t>
  </si>
  <si>
    <t>RECAUDO EN EFECTIVO ACUMULADO</t>
  </si>
  <si>
    <t>SALDO DE AFORO POR RECAUDAR</t>
  </si>
  <si>
    <t>VARIACION  %</t>
  </si>
  <si>
    <t>RECURSOS PROPIOS DE ESTABLECIMIENTOS PÚBLICOS</t>
  </si>
  <si>
    <t>INGRESOS CORRIENTES</t>
  </si>
  <si>
    <t>RECURSOS DE CAPITAL</t>
  </si>
  <si>
    <t>VALOR</t>
  </si>
  <si>
    <t>AFORO INICIAL DE INGRESO</t>
  </si>
  <si>
    <t xml:space="preserve">TOTAL RECAUDO </t>
  </si>
  <si>
    <t>FALTANTE POR RECAUDAR</t>
  </si>
  <si>
    <t>VARIACION % POR RECAUDAR</t>
  </si>
  <si>
    <t>RECAUDO %</t>
  </si>
  <si>
    <t>TOTAL PRESUPUESTO 2023</t>
  </si>
  <si>
    <t>TOPES DE ACUERDO AL PRESPUESTO</t>
  </si>
  <si>
    <t>TOTAL REZAGO PRESUPUESTAL (RESERVAS) 2022</t>
  </si>
  <si>
    <t>% DE EJECUCION DE RESERVAS</t>
  </si>
  <si>
    <t xml:space="preserve">CONSTITUCION RESERVAS </t>
  </si>
  <si>
    <t>PORCENTAJE CONSTITUCIÓN RESERVAS</t>
  </si>
  <si>
    <t>VALOR CONSTITUIDO / TOPES</t>
  </si>
  <si>
    <t>TOTAL REZAGO PRESUPUESTAL (CXP) 2022</t>
  </si>
  <si>
    <t>% DE EJECUCION DE CXP</t>
  </si>
  <si>
    <t>CONSTITUCION CUENTAS POR PAGAR</t>
  </si>
  <si>
    <t>PORCENTAJE CONSTITUCIÓN CUENTAS POR PAGAR</t>
  </si>
  <si>
    <t>COMPARATIVO PRESUPUESTO VIGENCIA 2022 - 2023</t>
  </si>
  <si>
    <t>PRESUPUESTO</t>
  </si>
  <si>
    <t>AUMENTO/    DISMINUCION</t>
  </si>
  <si>
    <t>AUMENTO/    DISMINUCION %</t>
  </si>
  <si>
    <t>DICIEMBRE 2023</t>
  </si>
  <si>
    <t>PROYECCIÓN AL CIERRE DICIEMBRE/2023</t>
  </si>
  <si>
    <t>SALDO INICIAL</t>
  </si>
  <si>
    <t>SALDO FINAL</t>
  </si>
  <si>
    <t>VARIACION %</t>
  </si>
  <si>
    <t>VARIACION $</t>
  </si>
  <si>
    <t>ASIGNACION INICIAL</t>
  </si>
  <si>
    <t>MODIFICACIONES (ADICIONES / REDUCCIONES)</t>
  </si>
  <si>
    <t>% PARTICIPACION</t>
  </si>
  <si>
    <t>INGRESO REAL (RECAUDADO)</t>
  </si>
  <si>
    <t>% RECAUDO</t>
  </si>
  <si>
    <t xml:space="preserve">VENTA DE SERVICIOS </t>
  </si>
  <si>
    <t xml:space="preserve">OPERACIONES COMERCIALES </t>
  </si>
  <si>
    <t xml:space="preserve">ARRENDAMIENTOS </t>
  </si>
  <si>
    <t xml:space="preserve">APORTES A OTRAS ENTIDADES </t>
  </si>
  <si>
    <t xml:space="preserve">OTROS INGRESOS NO TRIBUTARIOS: DEVOLUCION IVA </t>
  </si>
  <si>
    <t xml:space="preserve">RECAUDOS SIN CLASIFICAR </t>
  </si>
  <si>
    <t xml:space="preserve">EXCEDENTES FINANCIEROS </t>
  </si>
  <si>
    <t xml:space="preserve">RENDIMIENTOS FINANCIEROS </t>
  </si>
  <si>
    <t xml:space="preserve">REINTEGROS Y OTROS RECURSOS NO APROPIADOS </t>
  </si>
  <si>
    <t>VARIACION</t>
  </si>
  <si>
    <t>CONVENIOS</t>
  </si>
  <si>
    <t>VALOR PARA CANCELAR</t>
  </si>
  <si>
    <t>GOBIERNO DEPARTAMENTAL DEL TOLIMA</t>
  </si>
  <si>
    <t>MATRICULA CERO GOBIERNO NACIONAL</t>
  </si>
  <si>
    <t>SEMESTRE</t>
  </si>
  <si>
    <t>B</t>
  </si>
  <si>
    <t xml:space="preserve">TOTAL </t>
  </si>
  <si>
    <t>MUNICIPIO DE COELLO</t>
  </si>
  <si>
    <t xml:space="preserve">DESCRIPCION </t>
  </si>
  <si>
    <t>BANCO BILBAO VIZCAYA ARGENTARIA COLOMBIA S.A. BBVA (Cajero Automatico)</t>
  </si>
  <si>
    <t>DANY  CARVAJAL LARA (fotocopiadora)</t>
  </si>
  <si>
    <t>OK</t>
  </si>
  <si>
    <t>APROPIACION VIGENTE</t>
  </si>
  <si>
    <t>APROPIACION INICIAL</t>
  </si>
  <si>
    <t>MINISTERIO DE EDUCACION NACIONAL</t>
  </si>
  <si>
    <t xml:space="preserve">PRESUPUESTO VIGENCIA 2025 INSTITUTO TOLIMENSE DE FORMACION TECNICA PROFESIONAL </t>
  </si>
  <si>
    <t>PRESUPUESTO  2025</t>
  </si>
  <si>
    <t>PRESUPUESTO 2025</t>
  </si>
  <si>
    <t>PROYECCIÓN AL CIERRE NOVIEMBRE/2025</t>
  </si>
  <si>
    <t>CUENTAS POR COBRAR/2025</t>
  </si>
  <si>
    <t>CONVENIOS 2025:</t>
  </si>
  <si>
    <t>POLITICA DE GRATUIDAD SEM. B 2025</t>
  </si>
  <si>
    <t>PROYECCIÓN AL CIERRE DICIEMBRE/2025</t>
  </si>
  <si>
    <t>APORTES NACIONAL 2025</t>
  </si>
  <si>
    <t>AÑO 2025</t>
  </si>
  <si>
    <t>INGRESO REAL (RECAUDADO) 2025</t>
  </si>
  <si>
    <t>RESERVAS  2025</t>
  </si>
  <si>
    <t>CUENTAS POR PAGAR  2025</t>
  </si>
  <si>
    <t>APORTES NACIONAL 2024</t>
  </si>
  <si>
    <t>PRESUPUESTO VIGENCIA 2024 - 2025 INSTITUTO TOLIMENSE DE FORMACION TECNICA PROFESIONAL</t>
  </si>
  <si>
    <t>RECURSOS PROPIOS 2024</t>
  </si>
  <si>
    <t>RECURSOS PROPIOS 2025</t>
  </si>
  <si>
    <t>RESERVAS  2024</t>
  </si>
  <si>
    <t>CUENTAS POR PAGAR  2024</t>
  </si>
  <si>
    <t>AÑO 2024</t>
  </si>
  <si>
    <t>CUN 2024/2025</t>
  </si>
  <si>
    <t>INGRESO REAL (RECAUDADO) 2024</t>
  </si>
  <si>
    <t>2. SEGURIDAD HUMANA Y JUSTICIA SOCIAL / K. EDUCACIÓN SUPERIOR COMO UN DERECHO</t>
  </si>
  <si>
    <t>RECURSO</t>
  </si>
  <si>
    <t>NACION</t>
  </si>
  <si>
    <t xml:space="preserve">PROPIOS </t>
  </si>
  <si>
    <t>OTROS RECURSOS DE TESORERIA</t>
  </si>
  <si>
    <t>MUNICIPIO DEL GUAMO</t>
  </si>
  <si>
    <t>LEOPOLDO  CALDERON NUÑEZ</t>
  </si>
  <si>
    <t>MARÍA DORIS ORTÍZ ÑUSTEZ</t>
  </si>
  <si>
    <t>JUAN CARLOS ROJAS ESQUIVEL</t>
  </si>
  <si>
    <t>JONATAN  RAMIREZ BARRIOS</t>
  </si>
  <si>
    <t>PAULA RODRIGUEZ - ARRIENDO FOTOCOPIADORA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</si>
</sst>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;[Red]#,##0.00"/>
    <numFmt numFmtId="165" formatCode="0.0%"/>
    <numFmt numFmtId="166" formatCode="#,##0;[Red]#,##0"/>
    <numFmt numFmtId="167" formatCode="#,##0.0;[Red]#,##0.0"/>
    <numFmt numFmtId="168" formatCode="_-* #,##0.0_-;\-* #,##0.0_-;_-* &quot;-&quot;?_-;_-@_-"/>
    <numFmt numFmtId="169" formatCode="&quot;$&quot;#,##0.00;\-&quot;$&quot;#,##0.00"/>
    <numFmt numFmtId="170" formatCode="#,##0_ ;\-#,##0\ "/>
    <numFmt numFmtId="171" formatCode="&quot;$&quot;#,##0.00;[Red]\-&quot;$&quot;#,##0.00"/>
    <numFmt numFmtId="172" formatCode="_-* #,##0_-;\-* #,##0_-;_-* &quot;-&quot;??_-;_-@_-"/>
    <numFmt numFmtId="173" formatCode="_-* #,##0.00_-;\-* #,##0.00_-;_-* &quot;-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</font>
    <font>
      <sz val="12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charset val="204"/>
    </font>
    <font>
      <sz val="10"/>
      <name val="Arial"/>
      <family val="2"/>
    </font>
    <font>
      <sz val="12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  <charset val="204"/>
    </font>
    <font>
      <b/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7"/>
      <color rgb="FFFFFFFF"/>
      <name val="Arial Narrow"/>
      <family val="2"/>
    </font>
    <font>
      <b/>
      <sz val="8"/>
      <color rgb="FF000000"/>
      <name val="Arial"/>
      <family val="2"/>
    </font>
    <font>
      <b/>
      <sz val="10"/>
      <color rgb="FFFFFFFF"/>
      <name val="Arial Narrow"/>
      <family val="2"/>
    </font>
    <font>
      <b/>
      <sz val="9"/>
      <color rgb="FF000000"/>
      <name val="Arial"/>
      <family val="2"/>
    </font>
    <font>
      <b/>
      <u/>
      <sz val="9"/>
      <color rgb="FF000000"/>
      <name val="Arial"/>
      <family val="2"/>
    </font>
    <font>
      <b/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D77C2"/>
        <bgColor rgb="FF2D77C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49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2" xfId="0" applyFont="1" applyBorder="1"/>
    <xf numFmtId="41" fontId="5" fillId="0" borderId="2" xfId="2" applyFont="1" applyFill="1" applyBorder="1"/>
    <xf numFmtId="41" fontId="6" fillId="0" borderId="0" xfId="2" applyFont="1" applyFill="1" applyBorder="1"/>
    <xf numFmtId="0" fontId="5" fillId="0" borderId="2" xfId="0" applyFont="1" applyBorder="1" applyAlignment="1">
      <alignment wrapText="1"/>
    </xf>
    <xf numFmtId="0" fontId="3" fillId="2" borderId="3" xfId="0" applyFont="1" applyFill="1" applyBorder="1"/>
    <xf numFmtId="41" fontId="3" fillId="2" borderId="3" xfId="2" applyFont="1" applyFill="1" applyBorder="1"/>
    <xf numFmtId="0" fontId="6" fillId="0" borderId="0" xfId="0" applyFont="1" applyAlignment="1">
      <alignment horizontal="center"/>
    </xf>
    <xf numFmtId="164" fontId="0" fillId="0" borderId="0" xfId="0" applyNumberFormat="1"/>
    <xf numFmtId="165" fontId="6" fillId="0" borderId="0" xfId="0" applyNumberFormat="1" applyFont="1" applyAlignment="1">
      <alignment horizontal="center"/>
    </xf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41" fontId="5" fillId="0" borderId="1" xfId="2" applyFont="1" applyFill="1" applyBorder="1"/>
    <xf numFmtId="41" fontId="3" fillId="0" borderId="1" xfId="2" applyFont="1" applyFill="1" applyBorder="1"/>
    <xf numFmtId="0" fontId="5" fillId="0" borderId="7" xfId="0" applyFont="1" applyBorder="1" applyAlignment="1">
      <alignment horizontal="center"/>
    </xf>
    <xf numFmtId="9" fontId="5" fillId="0" borderId="7" xfId="4" applyFont="1" applyFill="1" applyBorder="1" applyAlignment="1">
      <alignment horizontal="center"/>
    </xf>
    <xf numFmtId="0" fontId="0" fillId="3" borderId="0" xfId="0" applyFill="1"/>
    <xf numFmtId="164" fontId="3" fillId="2" borderId="1" xfId="0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/>
    <xf numFmtId="41" fontId="0" fillId="0" borderId="0" xfId="0" applyNumberFormat="1"/>
    <xf numFmtId="0" fontId="3" fillId="0" borderId="0" xfId="0" applyFont="1" applyAlignment="1">
      <alignment horizontal="center"/>
    </xf>
    <xf numFmtId="0" fontId="7" fillId="0" borderId="0" xfId="0" applyFont="1"/>
    <xf numFmtId="165" fontId="3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165" fontId="3" fillId="4" borderId="0" xfId="0" applyNumberFormat="1" applyFont="1" applyFill="1" applyAlignment="1">
      <alignment horizontal="center"/>
    </xf>
    <xf numFmtId="43" fontId="3" fillId="4" borderId="0" xfId="1" applyFont="1" applyFill="1" applyBorder="1" applyAlignment="1">
      <alignment horizontal="center"/>
    </xf>
    <xf numFmtId="166" fontId="3" fillId="4" borderId="0" xfId="1" applyNumberFormat="1" applyFont="1" applyFill="1" applyBorder="1" applyAlignment="1">
      <alignment horizontal="center"/>
    </xf>
    <xf numFmtId="0" fontId="0" fillId="4" borderId="0" xfId="0" applyFill="1"/>
    <xf numFmtId="167" fontId="3" fillId="0" borderId="0" xfId="0" applyNumberFormat="1" applyFont="1" applyAlignment="1">
      <alignment horizontal="center"/>
    </xf>
    <xf numFmtId="168" fontId="0" fillId="0" borderId="0" xfId="0" applyNumberFormat="1"/>
    <xf numFmtId="41" fontId="7" fillId="0" borderId="0" xfId="0" applyNumberFormat="1" applyFont="1"/>
    <xf numFmtId="164" fontId="3" fillId="2" borderId="1" xfId="0" applyNumberFormat="1" applyFont="1" applyFill="1" applyBorder="1"/>
    <xf numFmtId="41" fontId="8" fillId="0" borderId="2" xfId="4" applyNumberFormat="1" applyFont="1" applyBorder="1"/>
    <xf numFmtId="164" fontId="3" fillId="0" borderId="1" xfId="2" applyNumberFormat="1" applyFont="1" applyFill="1" applyBorder="1"/>
    <xf numFmtId="0" fontId="9" fillId="0" borderId="0" xfId="0" applyFont="1"/>
    <xf numFmtId="169" fontId="9" fillId="0" borderId="0" xfId="0" applyNumberFormat="1" applyFont="1"/>
    <xf numFmtId="0" fontId="7" fillId="0" borderId="0" xfId="0" applyFont="1" applyAlignment="1">
      <alignment wrapText="1"/>
    </xf>
    <xf numFmtId="42" fontId="3" fillId="0" borderId="0" xfId="3" applyFont="1" applyFill="1" applyBorder="1" applyAlignment="1">
      <alignment horizontal="center"/>
    </xf>
    <xf numFmtId="42" fontId="0" fillId="0" borderId="0" xfId="0" applyNumberFormat="1"/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41" fontId="3" fillId="4" borderId="0" xfId="2" applyFont="1" applyFill="1" applyBorder="1"/>
    <xf numFmtId="164" fontId="3" fillId="0" borderId="0" xfId="2" applyNumberFormat="1" applyFont="1" applyFill="1" applyBorder="1"/>
    <xf numFmtId="0" fontId="10" fillId="0" borderId="1" xfId="0" applyFont="1" applyBorder="1" applyAlignment="1">
      <alignment horizontal="left" vertical="center" wrapText="1"/>
    </xf>
    <xf numFmtId="41" fontId="5" fillId="0" borderId="1" xfId="2" applyFont="1" applyFill="1" applyBorder="1" applyAlignment="1">
      <alignment vertical="center"/>
    </xf>
    <xf numFmtId="169" fontId="11" fillId="0" borderId="1" xfId="0" applyNumberFormat="1" applyFont="1" applyBorder="1" applyAlignment="1">
      <alignment vertical="center"/>
    </xf>
    <xf numFmtId="41" fontId="5" fillId="0" borderId="8" xfId="2" applyFont="1" applyFill="1" applyBorder="1"/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164" fontId="3" fillId="5" borderId="1" xfId="2" applyNumberFormat="1" applyFont="1" applyFill="1" applyBorder="1"/>
    <xf numFmtId="49" fontId="7" fillId="0" borderId="1" xfId="0" applyNumberFormat="1" applyFont="1" applyBorder="1"/>
    <xf numFmtId="166" fontId="7" fillId="0" borderId="1" xfId="0" applyNumberFormat="1" applyFont="1" applyBorder="1"/>
    <xf numFmtId="0" fontId="7" fillId="0" borderId="1" xfId="0" applyFont="1" applyBorder="1"/>
    <xf numFmtId="9" fontId="13" fillId="0" borderId="1" xfId="4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wrapText="1"/>
    </xf>
    <xf numFmtId="0" fontId="13" fillId="0" borderId="2" xfId="0" applyFont="1" applyBorder="1"/>
    <xf numFmtId="41" fontId="13" fillId="0" borderId="1" xfId="2" applyFont="1" applyFill="1" applyBorder="1"/>
    <xf numFmtId="166" fontId="13" fillId="0" borderId="1" xfId="2" applyNumberFormat="1" applyFont="1" applyFill="1" applyBorder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horizontal="center" wrapText="1"/>
    </xf>
    <xf numFmtId="166" fontId="13" fillId="6" borderId="1" xfId="0" applyNumberFormat="1" applyFont="1" applyFill="1" applyBorder="1"/>
    <xf numFmtId="166" fontId="13" fillId="6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166" fontId="13" fillId="5" borderId="1" xfId="0" applyNumberFormat="1" applyFont="1" applyFill="1" applyBorder="1" applyAlignment="1">
      <alignment horizontal="center"/>
    </xf>
    <xf numFmtId="166" fontId="13" fillId="5" borderId="1" xfId="0" applyNumberFormat="1" applyFont="1" applyFill="1" applyBorder="1"/>
    <xf numFmtId="0" fontId="13" fillId="2" borderId="1" xfId="0" applyFont="1" applyFill="1" applyBorder="1" applyAlignment="1">
      <alignment horizontal="center"/>
    </xf>
    <xf numFmtId="166" fontId="13" fillId="2" borderId="1" xfId="0" applyNumberFormat="1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 readingOrder="1"/>
    </xf>
    <xf numFmtId="164" fontId="8" fillId="0" borderId="1" xfId="0" applyNumberFormat="1" applyFont="1" applyBorder="1"/>
    <xf numFmtId="0" fontId="15" fillId="0" borderId="1" xfId="0" applyFont="1" applyBorder="1" applyAlignment="1">
      <alignment horizontal="left" vertical="center" wrapText="1" readingOrder="1"/>
    </xf>
    <xf numFmtId="164" fontId="7" fillId="0" borderId="1" xfId="0" applyNumberFormat="1" applyFont="1" applyBorder="1"/>
    <xf numFmtId="0" fontId="16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 wrapText="1"/>
    </xf>
    <xf numFmtId="164" fontId="3" fillId="7" borderId="1" xfId="0" applyNumberFormat="1" applyFont="1" applyFill="1" applyBorder="1" applyAlignment="1">
      <alignment horizontal="center"/>
    </xf>
    <xf numFmtId="164" fontId="3" fillId="7" borderId="1" xfId="0" applyNumberFormat="1" applyFont="1" applyFill="1" applyBorder="1"/>
    <xf numFmtId="164" fontId="3" fillId="7" borderId="1" xfId="0" applyNumberFormat="1" applyFont="1" applyFill="1" applyBorder="1" applyAlignment="1">
      <alignment horizontal="center" wrapText="1"/>
    </xf>
    <xf numFmtId="9" fontId="3" fillId="0" borderId="0" xfId="4" applyFont="1" applyFill="1" applyBorder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3" fillId="0" borderId="2" xfId="0" applyFont="1" applyBorder="1"/>
    <xf numFmtId="41" fontId="5" fillId="4" borderId="0" xfId="2" applyFont="1" applyFill="1" applyBorder="1"/>
    <xf numFmtId="164" fontId="3" fillId="4" borderId="0" xfId="2" applyNumberFormat="1" applyFont="1" applyFill="1" applyBorder="1"/>
    <xf numFmtId="41" fontId="17" fillId="0" borderId="0" xfId="0" applyNumberFormat="1" applyFont="1"/>
    <xf numFmtId="0" fontId="3" fillId="0" borderId="0" xfId="0" applyFont="1" applyAlignment="1">
      <alignment horizontal="left" wrapText="1"/>
    </xf>
    <xf numFmtId="166" fontId="7" fillId="0" borderId="0" xfId="0" applyNumberFormat="1" applyFont="1"/>
    <xf numFmtId="166" fontId="3" fillId="0" borderId="0" xfId="0" applyNumberFormat="1" applyFont="1" applyAlignment="1">
      <alignment horizontal="center"/>
    </xf>
    <xf numFmtId="0" fontId="18" fillId="8" borderId="9" xfId="5" applyFont="1" applyFill="1" applyBorder="1" applyAlignment="1">
      <alignment horizontal="center" vertical="center"/>
    </xf>
    <xf numFmtId="0" fontId="18" fillId="8" borderId="9" xfId="5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9" fillId="0" borderId="0" xfId="0" applyFont="1"/>
    <xf numFmtId="164" fontId="18" fillId="0" borderId="9" xfId="5" applyNumberFormat="1" applyFont="1" applyBorder="1"/>
    <xf numFmtId="164" fontId="18" fillId="0" borderId="9" xfId="5" applyNumberFormat="1" applyFont="1" applyBorder="1" applyAlignment="1">
      <alignment wrapText="1"/>
    </xf>
    <xf numFmtId="170" fontId="3" fillId="0" borderId="0" xfId="0" applyNumberFormat="1" applyFont="1" applyAlignment="1">
      <alignment horizontal="center"/>
    </xf>
    <xf numFmtId="166" fontId="0" fillId="0" borderId="0" xfId="0" applyNumberFormat="1"/>
    <xf numFmtId="164" fontId="18" fillId="2" borderId="9" xfId="5" applyNumberFormat="1" applyFont="1" applyFill="1" applyBorder="1" applyAlignment="1">
      <alignment wrapText="1"/>
    </xf>
    <xf numFmtId="41" fontId="5" fillId="0" borderId="2" xfId="2" applyFont="1" applyFill="1" applyBorder="1" applyAlignment="1">
      <alignment horizontal="center"/>
    </xf>
    <xf numFmtId="9" fontId="3" fillId="0" borderId="0" xfId="0" applyNumberFormat="1" applyFont="1" applyAlignment="1">
      <alignment horizontal="center"/>
    </xf>
    <xf numFmtId="166" fontId="5" fillId="0" borderId="2" xfId="2" applyNumberFormat="1" applyFont="1" applyFill="1" applyBorder="1" applyAlignment="1"/>
    <xf numFmtId="41" fontId="5" fillId="2" borderId="2" xfId="2" applyFont="1" applyFill="1" applyBorder="1"/>
    <xf numFmtId="0" fontId="3" fillId="4" borderId="0" xfId="0" applyFont="1" applyFill="1" applyAlignment="1">
      <alignment horizontal="center"/>
    </xf>
    <xf numFmtId="0" fontId="7" fillId="4" borderId="0" xfId="0" applyFont="1" applyFill="1"/>
    <xf numFmtId="166" fontId="0" fillId="4" borderId="0" xfId="0" applyNumberFormat="1" applyFill="1"/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wrapText="1"/>
    </xf>
    <xf numFmtId="166" fontId="20" fillId="0" borderId="13" xfId="0" applyNumberFormat="1" applyFont="1" applyBorder="1" applyAlignment="1">
      <alignment horizontal="center" vertical="top" wrapText="1"/>
    </xf>
    <xf numFmtId="4" fontId="7" fillId="4" borderId="14" xfId="0" applyNumberFormat="1" applyFont="1" applyFill="1" applyBorder="1"/>
    <xf numFmtId="4" fontId="0" fillId="0" borderId="0" xfId="0" applyNumberFormat="1"/>
    <xf numFmtId="164" fontId="21" fillId="0" borderId="0" xfId="0" applyNumberFormat="1" applyFont="1" applyAlignment="1">
      <alignment horizontal="center"/>
    </xf>
    <xf numFmtId="9" fontId="21" fillId="0" borderId="0" xfId="4" applyFont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171" fontId="8" fillId="0" borderId="15" xfId="0" applyNumberFormat="1" applyFont="1" applyBorder="1"/>
    <xf numFmtId="164" fontId="3" fillId="0" borderId="3" xfId="2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66" fontId="0" fillId="0" borderId="1" xfId="0" applyNumberFormat="1" applyBorder="1"/>
    <xf numFmtId="170" fontId="0" fillId="0" borderId="1" xfId="0" applyNumberFormat="1" applyBorder="1"/>
    <xf numFmtId="170" fontId="0" fillId="0" borderId="0" xfId="0" applyNumberFormat="1"/>
    <xf numFmtId="0" fontId="2" fillId="2" borderId="1" xfId="0" applyFont="1" applyFill="1" applyBorder="1"/>
    <xf numFmtId="166" fontId="2" fillId="2" borderId="1" xfId="0" applyNumberFormat="1" applyFont="1" applyFill="1" applyBorder="1"/>
    <xf numFmtId="0" fontId="2" fillId="0" borderId="0" xfId="0" applyFont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center" vertical="center"/>
    </xf>
    <xf numFmtId="0" fontId="22" fillId="0" borderId="0" xfId="0" applyFont="1"/>
    <xf numFmtId="166" fontId="22" fillId="0" borderId="0" xfId="0" applyNumberFormat="1" applyFont="1"/>
    <xf numFmtId="0" fontId="23" fillId="9" borderId="16" xfId="0" applyFont="1" applyFill="1" applyBorder="1" applyAlignment="1">
      <alignment vertical="center" readingOrder="1"/>
    </xf>
    <xf numFmtId="172" fontId="23" fillId="9" borderId="16" xfId="1" applyNumberFormat="1" applyFont="1" applyFill="1" applyBorder="1" applyAlignment="1">
      <alignment vertical="center" wrapText="1" readingOrder="1"/>
    </xf>
    <xf numFmtId="0" fontId="23" fillId="9" borderId="16" xfId="0" applyFont="1" applyFill="1" applyBorder="1" applyAlignment="1">
      <alignment horizontal="center" vertical="center" wrapText="1" readingOrder="1"/>
    </xf>
    <xf numFmtId="0" fontId="24" fillId="4" borderId="0" xfId="0" applyFont="1" applyFill="1" applyAlignment="1">
      <alignment vertical="top" readingOrder="1"/>
    </xf>
    <xf numFmtId="172" fontId="24" fillId="4" borderId="0" xfId="1" applyNumberFormat="1" applyFont="1" applyFill="1" applyBorder="1" applyAlignment="1">
      <alignment horizontal="right" vertical="top" readingOrder="1"/>
    </xf>
    <xf numFmtId="9" fontId="24" fillId="4" borderId="0" xfId="4" applyFont="1" applyFill="1" applyBorder="1" applyAlignment="1">
      <alignment horizontal="center" vertical="top" readingOrder="1"/>
    </xf>
    <xf numFmtId="0" fontId="25" fillId="9" borderId="1" xfId="0" applyFont="1" applyFill="1" applyBorder="1" applyAlignment="1">
      <alignment horizontal="center" vertical="center" readingOrder="1"/>
    </xf>
    <xf numFmtId="172" fontId="25" fillId="9" borderId="1" xfId="1" applyNumberFormat="1" applyFont="1" applyFill="1" applyBorder="1" applyAlignment="1">
      <alignment horizontal="center" vertical="center" wrapText="1" readingOrder="1"/>
    </xf>
    <xf numFmtId="0" fontId="26" fillId="4" borderId="1" xfId="0" applyFont="1" applyFill="1" applyBorder="1" applyAlignment="1">
      <alignment horizontal="center" vertical="center" readingOrder="1"/>
    </xf>
    <xf numFmtId="172" fontId="26" fillId="4" borderId="1" xfId="1" applyNumberFormat="1" applyFont="1" applyFill="1" applyBorder="1" applyAlignment="1">
      <alignment horizontal="center" vertical="center" readingOrder="1"/>
    </xf>
    <xf numFmtId="3" fontId="26" fillId="4" borderId="1" xfId="1" applyNumberFormat="1" applyFont="1" applyFill="1" applyBorder="1" applyAlignment="1">
      <alignment horizontal="right" vertical="center" readingOrder="1"/>
    </xf>
    <xf numFmtId="0" fontId="27" fillId="4" borderId="1" xfId="0" applyFont="1" applyFill="1" applyBorder="1" applyAlignment="1">
      <alignment horizontal="center" vertical="center" readingOrder="1"/>
    </xf>
    <xf numFmtId="172" fontId="27" fillId="4" borderId="1" xfId="1" applyNumberFormat="1" applyFont="1" applyFill="1" applyBorder="1" applyAlignment="1">
      <alignment horizontal="center" vertical="center" readingOrder="1"/>
    </xf>
    <xf numFmtId="172" fontId="28" fillId="4" borderId="1" xfId="1" applyNumberFormat="1" applyFont="1" applyFill="1" applyBorder="1" applyAlignment="1">
      <alignment horizontal="center" vertical="center"/>
    </xf>
    <xf numFmtId="9" fontId="28" fillId="4" borderId="1" xfId="4" applyFont="1" applyFill="1" applyBorder="1" applyAlignment="1">
      <alignment horizontal="center" vertical="center"/>
    </xf>
    <xf numFmtId="0" fontId="6" fillId="4" borderId="0" xfId="0" applyFont="1" applyFill="1"/>
    <xf numFmtId="172" fontId="6" fillId="4" borderId="0" xfId="1" applyNumberFormat="1" applyFont="1" applyFill="1" applyBorder="1" applyAlignment="1"/>
    <xf numFmtId="9" fontId="4" fillId="2" borderId="0" xfId="4" applyFont="1" applyFill="1" applyBorder="1" applyAlignment="1">
      <alignment horizontal="center"/>
    </xf>
    <xf numFmtId="0" fontId="29" fillId="8" borderId="9" xfId="0" applyFont="1" applyFill="1" applyBorder="1" applyAlignment="1">
      <alignment horizontal="center"/>
    </xf>
    <xf numFmtId="0" fontId="29" fillId="4" borderId="0" xfId="0" applyFont="1" applyFill="1" applyAlignment="1">
      <alignment horizontal="center"/>
    </xf>
    <xf numFmtId="164" fontId="2" fillId="0" borderId="9" xfId="0" applyNumberFormat="1" applyFont="1" applyBorder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9" fillId="8" borderId="9" xfId="0" applyFont="1" applyFill="1" applyBorder="1" applyAlignment="1">
      <alignment horizontal="center" wrapText="1"/>
    </xf>
    <xf numFmtId="0" fontId="29" fillId="0" borderId="9" xfId="0" applyFont="1" applyBorder="1" applyAlignment="1">
      <alignment vertical="center" wrapText="1"/>
    </xf>
    <xf numFmtId="164" fontId="29" fillId="0" borderId="9" xfId="0" applyNumberFormat="1" applyFont="1" applyBorder="1" applyAlignment="1">
      <alignment horizontal="center" vertical="center"/>
    </xf>
    <xf numFmtId="164" fontId="29" fillId="3" borderId="9" xfId="0" applyNumberFormat="1" applyFont="1" applyFill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0" fontId="29" fillId="8" borderId="9" xfId="0" applyFont="1" applyFill="1" applyBorder="1" applyAlignment="1">
      <alignment horizontal="center" vertical="center" wrapText="1"/>
    </xf>
    <xf numFmtId="0" fontId="29" fillId="8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Fill="1" applyBorder="1" applyAlignment="1">
      <alignment horizontal="center"/>
    </xf>
    <xf numFmtId="164" fontId="5" fillId="0" borderId="2" xfId="2" applyNumberFormat="1" applyFont="1" applyFill="1" applyBorder="1" applyAlignment="1">
      <alignment horizontal="center"/>
    </xf>
    <xf numFmtId="173" fontId="5" fillId="0" borderId="2" xfId="2" applyNumberFormat="1" applyFont="1" applyFill="1" applyBorder="1" applyAlignment="1">
      <alignment horizontal="center"/>
    </xf>
    <xf numFmtId="166" fontId="7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center"/>
    </xf>
    <xf numFmtId="9" fontId="5" fillId="0" borderId="1" xfId="4" applyFont="1" applyFill="1" applyBorder="1" applyAlignment="1">
      <alignment horizontal="center"/>
    </xf>
    <xf numFmtId="9" fontId="3" fillId="2" borderId="3" xfId="4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/>
    </xf>
    <xf numFmtId="0" fontId="10" fillId="0" borderId="1" xfId="0" applyFont="1" applyBorder="1"/>
    <xf numFmtId="0" fontId="10" fillId="0" borderId="1" xfId="0" applyFont="1" applyFill="1" applyBorder="1"/>
    <xf numFmtId="44" fontId="10" fillId="0" borderId="1" xfId="6" applyFont="1" applyFill="1" applyBorder="1"/>
    <xf numFmtId="44" fontId="30" fillId="2" borderId="1" xfId="6" applyFont="1" applyFill="1" applyBorder="1" applyAlignment="1">
      <alignment horizontal="center" vertical="center"/>
    </xf>
    <xf numFmtId="44" fontId="3" fillId="2" borderId="1" xfId="6" applyFont="1" applyFill="1" applyBorder="1" applyAlignment="1">
      <alignment horizontal="center" vertical="center"/>
    </xf>
    <xf numFmtId="9" fontId="30" fillId="2" borderId="1" xfId="4" applyFont="1" applyFill="1" applyBorder="1" applyAlignment="1">
      <alignment horizontal="center" vertical="center"/>
    </xf>
    <xf numFmtId="9" fontId="10" fillId="0" borderId="1" xfId="4" applyFont="1" applyFill="1" applyBorder="1" applyAlignment="1">
      <alignment horizontal="center"/>
    </xf>
    <xf numFmtId="9" fontId="0" fillId="0" borderId="0" xfId="4" applyFont="1"/>
    <xf numFmtId="44" fontId="0" fillId="0" borderId="0" xfId="6" applyFont="1"/>
    <xf numFmtId="0" fontId="10" fillId="0" borderId="1" xfId="0" applyFont="1" applyBorder="1" applyAlignment="1">
      <alignment horizontal="center"/>
    </xf>
    <xf numFmtId="0" fontId="30" fillId="2" borderId="4" xfId="0" applyFont="1" applyFill="1" applyBorder="1" applyAlignment="1">
      <alignment horizontal="center" vertical="center"/>
    </xf>
    <xf numFmtId="10" fontId="30" fillId="2" borderId="1" xfId="4" applyNumberFormat="1" applyFont="1" applyFill="1" applyBorder="1" applyAlignment="1">
      <alignment horizontal="center" vertical="center"/>
    </xf>
    <xf numFmtId="10" fontId="10" fillId="0" borderId="1" xfId="4" applyNumberFormat="1" applyFont="1" applyFill="1" applyBorder="1" applyAlignment="1">
      <alignment horizontal="center"/>
    </xf>
    <xf numFmtId="10" fontId="10" fillId="0" borderId="1" xfId="6" applyNumberFormat="1" applyFont="1" applyFill="1" applyBorder="1"/>
    <xf numFmtId="164" fontId="18" fillId="0" borderId="17" xfId="5" applyNumberFormat="1" applyFont="1" applyFill="1" applyBorder="1" applyAlignment="1">
      <alignment wrapText="1"/>
    </xf>
    <xf numFmtId="173" fontId="3" fillId="2" borderId="3" xfId="2" applyNumberFormat="1" applyFont="1" applyFill="1" applyBorder="1"/>
    <xf numFmtId="4" fontId="10" fillId="0" borderId="1" xfId="6" applyNumberFormat="1" applyFont="1" applyFill="1" applyBorder="1"/>
    <xf numFmtId="0" fontId="5" fillId="0" borderId="1" xfId="0" applyFont="1" applyBorder="1"/>
    <xf numFmtId="44" fontId="0" fillId="0" borderId="0" xfId="0" applyNumberFormat="1"/>
    <xf numFmtId="9" fontId="8" fillId="0" borderId="1" xfId="4" applyFont="1" applyBorder="1" applyAlignment="1">
      <alignment horizontal="center"/>
    </xf>
    <xf numFmtId="9" fontId="0" fillId="0" borderId="0" xfId="0" applyNumberFormat="1"/>
    <xf numFmtId="10" fontId="2" fillId="0" borderId="0" xfId="4" applyNumberFormat="1" applyFont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10" fontId="10" fillId="0" borderId="1" xfId="6" applyNumberFormat="1" applyFont="1" applyFill="1" applyBorder="1" applyAlignment="1">
      <alignment horizontal="center"/>
    </xf>
    <xf numFmtId="41" fontId="5" fillId="0" borderId="1" xfId="2" applyFont="1" applyFill="1" applyBorder="1" applyAlignment="1">
      <alignment horizontal="center" vertical="center"/>
    </xf>
    <xf numFmtId="41" fontId="5" fillId="0" borderId="1" xfId="2" applyFont="1" applyFill="1" applyBorder="1" applyAlignment="1">
      <alignment horizontal="center" vertical="center" wrapText="1"/>
    </xf>
    <xf numFmtId="10" fontId="13" fillId="0" borderId="1" xfId="4" applyNumberFormat="1" applyFont="1" applyFill="1" applyBorder="1" applyAlignment="1">
      <alignment horizontal="center"/>
    </xf>
    <xf numFmtId="9" fontId="30" fillId="2" borderId="1" xfId="4" applyNumberFormat="1" applyFont="1" applyFill="1" applyBorder="1" applyAlignment="1">
      <alignment horizontal="center" vertical="center"/>
    </xf>
    <xf numFmtId="2" fontId="0" fillId="0" borderId="0" xfId="0" applyNumberFormat="1"/>
    <xf numFmtId="166" fontId="5" fillId="0" borderId="0" xfId="2" applyNumberFormat="1" applyFont="1" applyFill="1" applyBorder="1" applyAlignment="1"/>
    <xf numFmtId="0" fontId="7" fillId="0" borderId="0" xfId="0" applyFont="1" applyFill="1"/>
    <xf numFmtId="165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left" wrapText="1"/>
    </xf>
    <xf numFmtId="0" fontId="3" fillId="0" borderId="0" xfId="0" applyFont="1" applyFill="1" applyBorder="1"/>
    <xf numFmtId="173" fontId="5" fillId="0" borderId="1" xfId="2" applyNumberFormat="1" applyFont="1" applyFill="1" applyBorder="1" applyAlignment="1">
      <alignment vertical="center"/>
    </xf>
    <xf numFmtId="164" fontId="5" fillId="0" borderId="2" xfId="2" applyNumberFormat="1" applyFont="1" applyFill="1" applyBorder="1" applyAlignment="1"/>
    <xf numFmtId="166" fontId="3" fillId="0" borderId="0" xfId="2" applyNumberFormat="1" applyFont="1" applyFill="1" applyBorder="1" applyAlignment="1"/>
    <xf numFmtId="0" fontId="30" fillId="2" borderId="1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10" fontId="3" fillId="0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30" fillId="2" borderId="1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textRotation="45" wrapText="1"/>
    </xf>
    <xf numFmtId="0" fontId="7" fillId="0" borderId="0" xfId="0" applyFont="1" applyAlignment="1">
      <alignment horizontal="center" vertical="center" textRotation="45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7">
    <cellStyle name="Millares" xfId="1" builtinId="3"/>
    <cellStyle name="Millares [0]" xfId="2" builtinId="6"/>
    <cellStyle name="Moneda" xfId="6" builtinId="4"/>
    <cellStyle name="Moneda [0]" xfId="3" builtinId="7"/>
    <cellStyle name="Normal" xfId="0" builtinId="0"/>
    <cellStyle name="Normal 2" xfId="5" xr:uid="{00000000-0005-0000-0000-000005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PRESUPUESTO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5"/>
          <c:order val="0"/>
          <c:tx>
            <c:strRef>
              <c:f>'EJECUCIÓN PR. SEPTIEMBRE 2023'!$F$31</c:f>
              <c:strCache>
                <c:ptCount val="1"/>
                <c:pt idx="0">
                  <c:v>APROPIACIÓN VIGENTE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'EJECUCIÓN PR. SEPTIEMBRE 2023'!$E$32:$E$37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2023'!$F$32:$F$37</c:f>
              <c:numCache>
                <c:formatCode>_(* #,##0_);_(* \(#,##0\);_(* "-"_);_(@_)</c:formatCode>
                <c:ptCount val="6"/>
                <c:pt idx="0">
                  <c:v>17618955544</c:v>
                </c:pt>
                <c:pt idx="1">
                  <c:v>14042921266</c:v>
                </c:pt>
                <c:pt idx="2">
                  <c:v>1464008781</c:v>
                </c:pt>
                <c:pt idx="3">
                  <c:v>242882195</c:v>
                </c:pt>
                <c:pt idx="4">
                  <c:v>110019970</c:v>
                </c:pt>
                <c:pt idx="5">
                  <c:v>8184071470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F1B-48B1-A88C-B93B761B2F19}"/>
            </c:ext>
          </c:extLst>
        </c:ser>
        <c:ser>
          <c:idx val="6"/>
          <c:order val="1"/>
          <c:tx>
            <c:strRef>
              <c:f>'EJECUCIÓN PR. SEPTIEMBRE 2023'!$G$31</c:f>
              <c:strCache>
                <c:ptCount val="1"/>
                <c:pt idx="0">
                  <c:v>CDP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'EJECUCIÓN PR. SEPTIEMBRE 2023'!$E$32:$E$37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2023'!$G$32:$G$37</c:f>
              <c:numCache>
                <c:formatCode>_(* #,##0_);_(* \(#,##0\);_(* "-"_);_(@_)</c:formatCode>
                <c:ptCount val="6"/>
                <c:pt idx="0">
                  <c:v>16601644662</c:v>
                </c:pt>
                <c:pt idx="1">
                  <c:v>13075111339.57</c:v>
                </c:pt>
                <c:pt idx="2" formatCode="#,##0.00;[Red]#,##0.00">
                  <c:v>796871154.13999999</c:v>
                </c:pt>
                <c:pt idx="3" formatCode="#,##0.00;[Red]#,##0.00">
                  <c:v>199254296</c:v>
                </c:pt>
                <c:pt idx="4" formatCode="#,##0.00;[Red]#,##0.00">
                  <c:v>73131803</c:v>
                </c:pt>
                <c:pt idx="5" formatCode="#,##0.00;[Red]#,##0.00">
                  <c:v>8164361732.3199997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F1B-48B1-A88C-B93B761B2F19}"/>
            </c:ext>
          </c:extLst>
        </c:ser>
        <c:ser>
          <c:idx val="7"/>
          <c:order val="2"/>
          <c:tx>
            <c:strRef>
              <c:f>'EJECUCIÓN PR. SEPTIEMBRE 2023'!$H$31</c:f>
              <c:strCache>
                <c:ptCount val="1"/>
                <c:pt idx="0">
                  <c:v>COMPROMISOS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'EJECUCIÓN PR. SEPTIEMBRE 2023'!$E$32:$E$37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2023'!$H$32:$H$37</c:f>
              <c:numCache>
                <c:formatCode>#,##0.00;[Red]#,##0.00</c:formatCode>
                <c:ptCount val="6"/>
                <c:pt idx="0">
                  <c:v>16601644662</c:v>
                </c:pt>
                <c:pt idx="1">
                  <c:v>13075111339.57</c:v>
                </c:pt>
                <c:pt idx="2">
                  <c:v>780039877.13999999</c:v>
                </c:pt>
                <c:pt idx="3">
                  <c:v>199254296</c:v>
                </c:pt>
                <c:pt idx="4">
                  <c:v>73131803</c:v>
                </c:pt>
                <c:pt idx="5">
                  <c:v>8143361924.3199997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F1B-48B1-A88C-B93B761B2F19}"/>
            </c:ext>
          </c:extLst>
        </c:ser>
        <c:ser>
          <c:idx val="8"/>
          <c:order val="3"/>
          <c:tx>
            <c:strRef>
              <c:f>'EJECUCIÓN PR. SEPTIEMBRE 2023'!$I$31</c:f>
              <c:strCache>
                <c:ptCount val="1"/>
                <c:pt idx="0">
                  <c:v>OBLIGACIONES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'EJECUCIÓN PR. SEPTIEMBRE 2023'!$E$32:$E$37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2023'!$I$32:$I$37</c:f>
              <c:numCache>
                <c:formatCode>#,##0.00;[Red]#,##0.00</c:formatCode>
                <c:ptCount val="6"/>
                <c:pt idx="0">
                  <c:v>16601644662</c:v>
                </c:pt>
                <c:pt idx="1">
                  <c:v>5626351298.5699997</c:v>
                </c:pt>
                <c:pt idx="2">
                  <c:v>588008377.13999999</c:v>
                </c:pt>
                <c:pt idx="3">
                  <c:v>199254296</c:v>
                </c:pt>
                <c:pt idx="4">
                  <c:v>53525555</c:v>
                </c:pt>
                <c:pt idx="5">
                  <c:v>4330746076.75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F1B-48B1-A88C-B93B761B2F19}"/>
            </c:ext>
          </c:extLst>
        </c:ser>
        <c:ser>
          <c:idx val="9"/>
          <c:order val="4"/>
          <c:tx>
            <c:strRef>
              <c:f>'EJECUCIÓN PR. SEPTIEMBRE 2023'!$J$31</c:f>
              <c:strCache>
                <c:ptCount val="1"/>
                <c:pt idx="0">
                  <c:v>PAGOS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'EJECUCIÓN PR. SEPTIEMBRE 2023'!$E$32:$E$37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2023'!$J$32:$J$37</c:f>
              <c:numCache>
                <c:formatCode>#,##0.00;[Red]#,##0.00</c:formatCode>
                <c:ptCount val="6"/>
                <c:pt idx="0">
                  <c:v>16601184263</c:v>
                </c:pt>
                <c:pt idx="1">
                  <c:v>5621723130.5699997</c:v>
                </c:pt>
                <c:pt idx="2">
                  <c:v>588008377.13999999</c:v>
                </c:pt>
                <c:pt idx="3">
                  <c:v>199254296</c:v>
                </c:pt>
                <c:pt idx="4">
                  <c:v>53525555</c:v>
                </c:pt>
                <c:pt idx="5">
                  <c:v>4330746076.75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F1B-48B1-A88C-B93B761B2F19}"/>
            </c:ext>
          </c:extLst>
        </c:ser>
        <c:ser>
          <c:idx val="0"/>
          <c:order val="5"/>
          <c:tx>
            <c:strRef>
              <c:f>'EJECUCIÓN PR. SEPTIEMBRE 2023'!$F$31</c:f>
              <c:strCache>
                <c:ptCount val="1"/>
                <c:pt idx="0">
                  <c:v>APROPIACIÓN VIGENTE</c:v>
                </c:pt>
              </c:strCache>
              <c:extLst xmlns:c15="http://schemas.microsoft.com/office/drawing/2012/chart"/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2023'!$E$32:$E$37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  <c:extLst xmlns:c15="http://schemas.microsoft.com/office/drawing/2012/chart"/>
            </c:strRef>
          </c:cat>
          <c:val>
            <c:numRef>
              <c:f>'EJECUCIÓN PR. SEPTIEMBRE 2023'!$F$32:$F$37</c:f>
              <c:numCache>
                <c:formatCode>_(* #,##0_);_(* \(#,##0\);_(* "-"_);_(@_)</c:formatCode>
                <c:ptCount val="6"/>
                <c:pt idx="0">
                  <c:v>17618955544</c:v>
                </c:pt>
                <c:pt idx="1">
                  <c:v>14042921266</c:v>
                </c:pt>
                <c:pt idx="2">
                  <c:v>1464008781</c:v>
                </c:pt>
                <c:pt idx="3">
                  <c:v>242882195</c:v>
                </c:pt>
                <c:pt idx="4">
                  <c:v>110019970</c:v>
                </c:pt>
                <c:pt idx="5">
                  <c:v>8184071470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8F1B-48B1-A88C-B93B761B2F19}"/>
            </c:ext>
          </c:extLst>
        </c:ser>
        <c:ser>
          <c:idx val="1"/>
          <c:order val="6"/>
          <c:tx>
            <c:strRef>
              <c:f>'EJECUCIÓN PR. SEPTIEMBRE 2023'!$G$31</c:f>
              <c:strCache>
                <c:ptCount val="1"/>
                <c:pt idx="0">
                  <c:v>CDP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2023'!$E$32:$E$37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2023'!$G$32:$G$37</c:f>
              <c:numCache>
                <c:formatCode>_(* #,##0_);_(* \(#,##0\);_(* "-"_);_(@_)</c:formatCode>
                <c:ptCount val="6"/>
                <c:pt idx="0">
                  <c:v>16601644662</c:v>
                </c:pt>
                <c:pt idx="1">
                  <c:v>13075111339.57</c:v>
                </c:pt>
                <c:pt idx="2" formatCode="#,##0.00;[Red]#,##0.00">
                  <c:v>796871154.13999999</c:v>
                </c:pt>
                <c:pt idx="3" formatCode="#,##0.00;[Red]#,##0.00">
                  <c:v>199254296</c:v>
                </c:pt>
                <c:pt idx="4" formatCode="#,##0.00;[Red]#,##0.00">
                  <c:v>73131803</c:v>
                </c:pt>
                <c:pt idx="5" formatCode="#,##0.00;[Red]#,##0.00">
                  <c:v>8164361732.3199997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1B-48B1-A88C-B93B761B2F19}"/>
            </c:ext>
          </c:extLst>
        </c:ser>
        <c:ser>
          <c:idx val="2"/>
          <c:order val="7"/>
          <c:tx>
            <c:strRef>
              <c:f>'EJECUCIÓN PR. SEPTIEMBRE 2023'!$H$31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2023'!$E$32:$E$37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2023'!$H$32:$H$37</c:f>
              <c:numCache>
                <c:formatCode>#,##0.00;[Red]#,##0.00</c:formatCode>
                <c:ptCount val="6"/>
                <c:pt idx="0">
                  <c:v>16601644662</c:v>
                </c:pt>
                <c:pt idx="1">
                  <c:v>13075111339.57</c:v>
                </c:pt>
                <c:pt idx="2">
                  <c:v>780039877.13999999</c:v>
                </c:pt>
                <c:pt idx="3">
                  <c:v>199254296</c:v>
                </c:pt>
                <c:pt idx="4">
                  <c:v>73131803</c:v>
                </c:pt>
                <c:pt idx="5">
                  <c:v>8143361924.3199997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1B-48B1-A88C-B93B761B2F19}"/>
            </c:ext>
          </c:extLst>
        </c:ser>
        <c:ser>
          <c:idx val="3"/>
          <c:order val="8"/>
          <c:tx>
            <c:strRef>
              <c:f>'EJECUCIÓN PR. SEPTIEMBRE 2023'!$I$31</c:f>
              <c:strCache>
                <c:ptCount val="1"/>
                <c:pt idx="0">
                  <c:v>OBLIGACIONES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2023'!$E$32:$E$37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2023'!$I$32:$I$37</c:f>
              <c:numCache>
                <c:formatCode>#,##0.00;[Red]#,##0.00</c:formatCode>
                <c:ptCount val="6"/>
                <c:pt idx="0">
                  <c:v>16601644662</c:v>
                </c:pt>
                <c:pt idx="1">
                  <c:v>5626351298.5699997</c:v>
                </c:pt>
                <c:pt idx="2">
                  <c:v>588008377.13999999</c:v>
                </c:pt>
                <c:pt idx="3">
                  <c:v>199254296</c:v>
                </c:pt>
                <c:pt idx="4">
                  <c:v>53525555</c:v>
                </c:pt>
                <c:pt idx="5">
                  <c:v>4330746076.75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1B-48B1-A88C-B93B761B2F19}"/>
            </c:ext>
          </c:extLst>
        </c:ser>
        <c:ser>
          <c:idx val="4"/>
          <c:order val="9"/>
          <c:tx>
            <c:strRef>
              <c:f>'EJECUCIÓN PR. SEPTIEMBRE 2023'!$J$31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2023'!$E$32:$E$37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2023'!$J$32:$J$37</c:f>
              <c:numCache>
                <c:formatCode>#,##0.00;[Red]#,##0.00</c:formatCode>
                <c:ptCount val="6"/>
                <c:pt idx="0">
                  <c:v>16601184263</c:v>
                </c:pt>
                <c:pt idx="1">
                  <c:v>5621723130.5699997</c:v>
                </c:pt>
                <c:pt idx="2">
                  <c:v>588008377.13999999</c:v>
                </c:pt>
                <c:pt idx="3">
                  <c:v>199254296</c:v>
                </c:pt>
                <c:pt idx="4">
                  <c:v>53525555</c:v>
                </c:pt>
                <c:pt idx="5">
                  <c:v>4330746076.75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F1B-48B1-A88C-B93B761B2F1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65305072"/>
        <c:axId val="1065298000"/>
        <c:extLst/>
      </c:barChart>
      <c:catAx>
        <c:axId val="1065305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65298000"/>
        <c:crosses val="autoZero"/>
        <c:auto val="1"/>
        <c:lblAlgn val="ctr"/>
        <c:lblOffset val="100"/>
        <c:noMultiLvlLbl val="0"/>
      </c:catAx>
      <c:valAx>
        <c:axId val="1065298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6530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'EJECUCIÓN PR. SEPTIEMBRE 20 (2)'!$E$25</c:f>
              <c:strCache>
                <c:ptCount val="1"/>
                <c:pt idx="0">
                  <c:v>TOTAL PRESUPUESTO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5E-4558-9163-5DC9F3251F92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5E-4558-9163-5DC9F3251F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'EJECUCIÓN PR. SEPTIEMBRE 20 (2)'!$F$22:$G$22</c:f>
              <c:strCache>
                <c:ptCount val="2"/>
                <c:pt idx="0">
                  <c:v>APORTES NACIONAL</c:v>
                </c:pt>
                <c:pt idx="1">
                  <c:v>RECURSOS PROPIOS </c:v>
                </c:pt>
              </c:strCache>
            </c:strRef>
          </c:cat>
          <c:val>
            <c:numRef>
              <c:f>'EJECUCIÓN PR. SEPTIEMBRE 20 (2)'!$F$25:$G$25</c:f>
              <c:numCache>
                <c:formatCode>_(* #,##0_);_(* \(#,##0\);_(* "-"_);_(@_)</c:formatCode>
                <c:ptCount val="2"/>
                <c:pt idx="0">
                  <c:v>22917910093</c:v>
                </c:pt>
                <c:pt idx="1">
                  <c:v>18744949133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E-4558-9163-5DC9F3251F92}"/>
            </c:ext>
          </c:extLst>
        </c:ser>
        <c:ser>
          <c:idx val="1"/>
          <c:order val="1"/>
          <c:tx>
            <c:strRef>
              <c:f>'EJECUCIÓN PR. SEPTIEMBRE 20 (2)'!$E$26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95E-4558-9163-5DC9F3251F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95E-4558-9163-5DC9F3251F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'EJECUCIÓN PR. SEPTIEMBRE 20 (2)'!$F$22:$G$22</c:f>
              <c:strCache>
                <c:ptCount val="2"/>
                <c:pt idx="0">
                  <c:v>APORTES NACIONAL</c:v>
                </c:pt>
                <c:pt idx="1">
                  <c:v>RECURSOS PROPIOS </c:v>
                </c:pt>
              </c:strCache>
            </c:strRef>
          </c:cat>
          <c:val>
            <c:numRef>
              <c:f>'EJECUCIÓN PR. SEPTIEMBRE 20 (2)'!$F$26:$G$26</c:f>
              <c:numCache>
                <c:formatCode>0%</c:formatCode>
                <c:ptCount val="2"/>
                <c:pt idx="0">
                  <c:v>0.5500801077689339</c:v>
                </c:pt>
                <c:pt idx="1">
                  <c:v>0.44991989223106615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5E-4558-9163-5DC9F3251F9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'EJECUCIÓN PR. SEPTIEMBRE 20 (2)'!$E$334</c:f>
              <c:strCache>
                <c:ptCount val="1"/>
                <c:pt idx="0">
                  <c:v>PRESUPUESTO FUNCIONAMIENTO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 (2)'!$F$333:$G$333</c:f>
              <c:strCache>
                <c:ptCount val="2"/>
                <c:pt idx="0">
                  <c:v>APORTES NACIONAL 2024</c:v>
                </c:pt>
                <c:pt idx="1">
                  <c:v>APORTES NACIONAL 2025</c:v>
                </c:pt>
              </c:strCache>
            </c:strRef>
          </c:cat>
          <c:val>
            <c:numRef>
              <c:f>'EJECUCIÓN PR. SEPTIEMBRE 20 (2)'!$F$334:$G$334</c:f>
              <c:numCache>
                <c:formatCode>_(* #,##0_);_(* \(#,##0\);_(* "-"_);_(@_)</c:formatCode>
                <c:ptCount val="2"/>
                <c:pt idx="0">
                  <c:v>16627017575</c:v>
                </c:pt>
                <c:pt idx="1">
                  <c:v>19516364723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9-4EC1-B516-C212382CF0E4}"/>
            </c:ext>
          </c:extLst>
        </c:ser>
        <c:ser>
          <c:idx val="1"/>
          <c:order val="1"/>
          <c:tx>
            <c:strRef>
              <c:f>'EJECUCIÓN PR. SEPTIEMBRE 20 (2)'!$E$335</c:f>
              <c:strCache>
                <c:ptCount val="1"/>
                <c:pt idx="0">
                  <c:v>PRESUPUESTO DE INVERSION 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 (2)'!$F$333:$G$333</c:f>
              <c:strCache>
                <c:ptCount val="2"/>
                <c:pt idx="0">
                  <c:v>APORTES NACIONAL 2024</c:v>
                </c:pt>
                <c:pt idx="1">
                  <c:v>APORTES NACIONAL 2025</c:v>
                </c:pt>
              </c:strCache>
            </c:strRef>
          </c:cat>
          <c:val>
            <c:numRef>
              <c:f>'EJECUCIÓN PR. SEPTIEMBRE 20 (2)'!$F$335:$G$335</c:f>
              <c:numCache>
                <c:formatCode>_(* #,##0_);_(* \(#,##0\);_(* "-"_);_(@_)</c:formatCode>
                <c:ptCount val="2"/>
                <c:pt idx="0">
                  <c:v>2717000000</c:v>
                </c:pt>
                <c:pt idx="1">
                  <c:v>3401545370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9-4EC1-B516-C212382CF0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9789536"/>
        <c:axId val="969799936"/>
      </c:barChart>
      <c:catAx>
        <c:axId val="96978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9799936"/>
        <c:crosses val="autoZero"/>
        <c:auto val="1"/>
        <c:lblAlgn val="ctr"/>
        <c:lblOffset val="100"/>
        <c:noMultiLvlLbl val="0"/>
      </c:catAx>
      <c:valAx>
        <c:axId val="96979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978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'EJECUCIÓN PR. SEPTIEMBRE 20 (2)'!$E$344</c:f>
              <c:strCache>
                <c:ptCount val="1"/>
                <c:pt idx="0">
                  <c:v>PRESUPUESTO FUNCIONAMIENTO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 (2)'!$F$343:$G$343</c:f>
              <c:strCache>
                <c:ptCount val="2"/>
                <c:pt idx="0">
                  <c:v>RECURSOS PROPIOS 2024</c:v>
                </c:pt>
                <c:pt idx="1">
                  <c:v>RECURSOS PROPIOS 2025</c:v>
                </c:pt>
              </c:strCache>
            </c:strRef>
          </c:cat>
          <c:val>
            <c:numRef>
              <c:f>'EJECUCIÓN PR. SEPTIEMBRE 20 (2)'!$F$344:$G$344</c:f>
              <c:numCache>
                <c:formatCode>_(* #,##0_);_(* \(#,##0\);_(* "-"_);_(@_)</c:formatCode>
                <c:ptCount val="2"/>
                <c:pt idx="0">
                  <c:v>11117695055</c:v>
                </c:pt>
                <c:pt idx="1">
                  <c:v>13962423033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C-47C4-9F42-81512E7B385B}"/>
            </c:ext>
          </c:extLst>
        </c:ser>
        <c:ser>
          <c:idx val="1"/>
          <c:order val="1"/>
          <c:tx>
            <c:strRef>
              <c:f>'EJECUCIÓN PR. SEPTIEMBRE 20 (2)'!$E$345</c:f>
              <c:strCache>
                <c:ptCount val="1"/>
                <c:pt idx="0">
                  <c:v>PRESUPUESTO DE INVERSION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 (2)'!$F$343:$G$343</c:f>
              <c:strCache>
                <c:ptCount val="2"/>
                <c:pt idx="0">
                  <c:v>RECURSOS PROPIOS 2024</c:v>
                </c:pt>
                <c:pt idx="1">
                  <c:v>RECURSOS PROPIOS 2025</c:v>
                </c:pt>
              </c:strCache>
            </c:strRef>
          </c:cat>
          <c:val>
            <c:numRef>
              <c:f>'EJECUCIÓN PR. SEPTIEMBRE 20 (2)'!$F$345:$G$345</c:f>
              <c:numCache>
                <c:formatCode>_(* #,##0_);_(* \(#,##0\);_(* "-"_);_(@_)</c:formatCode>
                <c:ptCount val="2"/>
                <c:pt idx="0">
                  <c:v>5775290121</c:v>
                </c:pt>
                <c:pt idx="1">
                  <c:v>4782526100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C-47C4-9F42-81512E7B385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30384752"/>
        <c:axId val="930368944"/>
      </c:lineChart>
      <c:catAx>
        <c:axId val="93038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0368944"/>
        <c:crosses val="autoZero"/>
        <c:auto val="1"/>
        <c:lblAlgn val="ctr"/>
        <c:lblOffset val="100"/>
        <c:noMultiLvlLbl val="0"/>
      </c:catAx>
      <c:valAx>
        <c:axId val="93036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038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'EJECUCIÓN PR. SEPTIEMBRE 2023'!$G$31</c:f>
              <c:strCache>
                <c:ptCount val="1"/>
                <c:pt idx="0">
                  <c:v>CDP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'EJECUCIÓN PR. SEPTIEMBRE 2023'!$E$33:$E$39</c15:sqref>
                  </c15:fullRef>
                </c:ext>
              </c:extLst>
              <c:f>('EJECUCIÓN PR. SEPTIEMBRE 2023'!$E$36,'EJECUCIÓN PR. SEPTIEMBRE 2023'!$E$38:$E$39)</c:f>
              <c:strCache>
                <c:ptCount val="3"/>
                <c:pt idx="0">
                  <c:v>IMPUESTOS Y MULTAS</c:v>
                </c:pt>
                <c:pt idx="1">
                  <c:v>TOTAL PRESUPUESTO</c:v>
                </c:pt>
                <c:pt idx="2">
                  <c:v>% EJECUCIÓN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'EJECUCIÓN PR. SEPTIEMBRE 2023'!$G$33:$G$39</c15:sqref>
                  </c15:fullRef>
                </c:ext>
              </c:extLst>
              <c:f>('EJECUCIÓN PR. SEPTIEMBRE 2023'!$G$36,'EJECUCIÓN PR. SEPTIEMBRE 2023'!$G$38:$G$39)</c:f>
              <c:numCache>
                <c:formatCode>#,##0.00;[Red]#,##0.00</c:formatCode>
                <c:ptCount val="3"/>
                <c:pt idx="0">
                  <c:v>73131803</c:v>
                </c:pt>
                <c:pt idx="1" formatCode="_(* #,##0_);_(* \(#,##0\);_(* &quot;-&quot;_);_(@_)">
                  <c:v>38910374987.029999</c:v>
                </c:pt>
                <c:pt idx="2" formatCode="0.00%">
                  <c:v>0.93393434127890351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9-4461-A0C6-A0D1497C183C}"/>
            </c:ext>
          </c:extLst>
        </c:ser>
        <c:ser>
          <c:idx val="3"/>
          <c:order val="2"/>
          <c:tx>
            <c:strRef>
              <c:f>'EJECUCIÓN PR. SEPTIEMBRE 2023'!$H$31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'EJECUCIÓN PR. SEPTIEMBRE 2023'!$E$33:$E$39</c15:sqref>
                  </c15:fullRef>
                </c:ext>
              </c:extLst>
              <c:f>('EJECUCIÓN PR. SEPTIEMBRE 2023'!$E$36,'EJECUCIÓN PR. SEPTIEMBRE 2023'!$E$38:$E$39)</c:f>
              <c:strCache>
                <c:ptCount val="3"/>
                <c:pt idx="0">
                  <c:v>IMPUESTOS Y MULTAS</c:v>
                </c:pt>
                <c:pt idx="1">
                  <c:v>TOTAL PRESUPUESTO</c:v>
                </c:pt>
                <c:pt idx="2">
                  <c:v>% EJECUCIÓN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'EJECUCIÓN PR. SEPTIEMBRE 2023'!$H$33:$H$39</c15:sqref>
                  </c15:fullRef>
                </c:ext>
              </c:extLst>
              <c:f>('EJECUCIÓN PR. SEPTIEMBRE 2023'!$H$36,'EJECUCIÓN PR. SEPTIEMBRE 2023'!$H$38:$H$39)</c:f>
              <c:numCache>
                <c:formatCode>#,##0.00;[Red]#,##0.00</c:formatCode>
                <c:ptCount val="3"/>
                <c:pt idx="0">
                  <c:v>73131803</c:v>
                </c:pt>
                <c:pt idx="1" formatCode="_(* #,##0_);_(* \(#,##0\);_(* &quot;-&quot;_);_(@_)">
                  <c:v>38872543902.029999</c:v>
                </c:pt>
                <c:pt idx="2" formatCode="0.00%">
                  <c:v>0.93302631226450528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69-4461-A0C6-A0D1497C183C}"/>
            </c:ext>
          </c:extLst>
        </c:ser>
        <c:ser>
          <c:idx val="4"/>
          <c:order val="3"/>
          <c:tx>
            <c:strRef>
              <c:f>'EJECUCIÓN PR. SEPTIEMBRE 2023'!$I$31</c:f>
              <c:strCache>
                <c:ptCount val="1"/>
                <c:pt idx="0">
                  <c:v>OBLIGACIONES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'EJECUCIÓN PR. SEPTIEMBRE 2023'!$E$33:$E$39</c15:sqref>
                  </c15:fullRef>
                </c:ext>
              </c:extLst>
              <c:f>('EJECUCIÓN PR. SEPTIEMBRE 2023'!$E$36,'EJECUCIÓN PR. SEPTIEMBRE 2023'!$E$38:$E$39)</c:f>
              <c:strCache>
                <c:ptCount val="3"/>
                <c:pt idx="0">
                  <c:v>IMPUESTOS Y MULTAS</c:v>
                </c:pt>
                <c:pt idx="1">
                  <c:v>TOTAL PRESUPUESTO</c:v>
                </c:pt>
                <c:pt idx="2">
                  <c:v>% EJECUCIÓN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'EJECUCIÓN PR. SEPTIEMBRE 2023'!$I$33:$I$39</c15:sqref>
                  </c15:fullRef>
                </c:ext>
              </c:extLst>
              <c:f>('EJECUCIÓN PR. SEPTIEMBRE 2023'!$I$36,'EJECUCIÓN PR. SEPTIEMBRE 2023'!$I$38:$I$39)</c:f>
              <c:numCache>
                <c:formatCode>#,##0.00;[Red]#,##0.00</c:formatCode>
                <c:ptCount val="3"/>
                <c:pt idx="0">
                  <c:v>53525555</c:v>
                </c:pt>
                <c:pt idx="1" formatCode="_(* #,##0_);_(* \(#,##0\);_(* &quot;-&quot;_);_(@_)">
                  <c:v>27399530265.459999</c:v>
                </c:pt>
                <c:pt idx="2" formatCode="0.00%">
                  <c:v>0.65764882138384606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69-4461-A0C6-A0D1497C183C}"/>
            </c:ext>
          </c:extLst>
        </c:ser>
        <c:ser>
          <c:idx val="5"/>
          <c:order val="4"/>
          <c:tx>
            <c:strRef>
              <c:f>'EJECUCIÓN PR. SEPTIEMBRE 2023'!$J$31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'EJECUCIÓN PR. SEPTIEMBRE 2023'!$E$33:$E$39</c15:sqref>
                  </c15:fullRef>
                </c:ext>
              </c:extLst>
              <c:f>('EJECUCIÓN PR. SEPTIEMBRE 2023'!$E$36,'EJECUCIÓN PR. SEPTIEMBRE 2023'!$E$38:$E$39)</c:f>
              <c:strCache>
                <c:ptCount val="3"/>
                <c:pt idx="0">
                  <c:v>IMPUESTOS Y MULTAS</c:v>
                </c:pt>
                <c:pt idx="1">
                  <c:v>TOTAL PRESUPUESTO</c:v>
                </c:pt>
                <c:pt idx="2">
                  <c:v>% EJECUCIÓN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'EJECUCIÓN PR. SEPTIEMBRE 2023'!$J$33:$J$39</c15:sqref>
                  </c15:fullRef>
                </c:ext>
              </c:extLst>
              <c:f>('EJECUCIÓN PR. SEPTIEMBRE 2023'!$J$36,'EJECUCIÓN PR. SEPTIEMBRE 2023'!$J$38:$J$39)</c:f>
              <c:numCache>
                <c:formatCode>#,##0.00;[Red]#,##0.00</c:formatCode>
                <c:ptCount val="3"/>
                <c:pt idx="0">
                  <c:v>53525555</c:v>
                </c:pt>
                <c:pt idx="1" formatCode="_(* #,##0_);_(* \(#,##0\);_(* &quot;-&quot;_);_(@_)">
                  <c:v>27394441698.459999</c:v>
                </c:pt>
                <c:pt idx="2" formatCode="0.00%">
                  <c:v>0.65752668461516206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69-4461-A0C6-A0D1497C18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65309968"/>
        <c:axId val="1065290384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'EJECUCIÓN PR. SEPTIEMBRE 2023'!$F$31</c15:sqref>
                        </c15:formulaRef>
                      </c:ext>
                    </c:extLst>
                    <c:strCache>
                      <c:ptCount val="1"/>
                      <c:pt idx="0">
                        <c:v>APROPIACIÓN VIGENTE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'EJECUCIÓN PR. SEPTIEMBRE 2023'!$E$33:$E$39</c15:sqref>
                        </c15:fullRef>
                        <c15:formulaRef>
                          <c15:sqref>('EJECUCIÓN PR. SEPTIEMBRE 2023'!$E$36,'EJECUCIÓN PR. SEPTIEMBRE 2023'!$E$38:$E$39)</c15:sqref>
                        </c15:formulaRef>
                      </c:ext>
                    </c:extLst>
                    <c:strCache>
                      <c:ptCount val="3"/>
                      <c:pt idx="0">
                        <c:v>IMPUESTOS Y MULTAS</c:v>
                      </c:pt>
                      <c:pt idx="1">
                        <c:v>TOTAL PRESUPUESTO</c:v>
                      </c:pt>
                      <c:pt idx="2">
                        <c:v>% EJECUCIÓN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'EJECUCIÓN PR. SEPTIEMBRE 2023'!$F$33:$F$39</c15:sqref>
                        </c15:fullRef>
                        <c15:formulaRef>
                          <c15:sqref>('EJECUCIÓN PR. SEPTIEMBRE 2023'!$F$36,'EJECUCIÓN PR. SEPTIEMBRE 2023'!$F$38:$F$39)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110019970</c:v>
                      </c:pt>
                      <c:pt idx="1">
                        <c:v>41662859226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E169-4461-A0C6-A0D1497C183C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'EJECUCIÓN PR. SEPTIEMBRE 2023'!$K$31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lumOff val="2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80000"/>
                          <a:lumOff val="2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80000"/>
                          <a:lumOff val="2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lumMod val="80000"/>
                        <a:lumOff val="2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'EJECUCIÓN PR. SEPTIEMBRE 2023'!$E$33:$E$39</c15:sqref>
                        </c15:fullRef>
                        <c15:formulaRef>
                          <c15:sqref>('EJECUCIÓN PR. SEPTIEMBRE 2023'!$E$36,'EJECUCIÓN PR. SEPTIEMBRE 2023'!$E$38:$E$39)</c15:sqref>
                        </c15:formulaRef>
                      </c:ext>
                    </c:extLst>
                    <c:strCache>
                      <c:ptCount val="3"/>
                      <c:pt idx="0">
                        <c:v>IMPUESTOS Y MULTAS</c:v>
                      </c:pt>
                      <c:pt idx="1">
                        <c:v>TOTAL PRESUPUESTO</c:v>
                      </c:pt>
                      <c:pt idx="2">
                        <c:v>% EJECUCIÓN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'EJECUCIÓN PR. SEPTIEMBRE 2023'!$K$33:$K$39</c15:sqref>
                        </c15:fullRef>
                        <c15:formulaRef>
                          <c15:sqref>('EJECUCIÓN PR. SEPTIEMBRE 2023'!$K$36,'EJECUCIÓN PR. SEPTIEMBRE 2023'!$K$38:$K$39)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69-4461-A0C6-A0D1497C183C}"/>
                  </c:ext>
                </c:extLst>
              </c15:ser>
            </c15:filteredBarSeries>
            <c15:filteredBa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'EJECUCIÓN PR. SEPTIEMBRE 2023'!$L$31</c15:sqref>
                        </c15:formulaRef>
                      </c:ext>
                    </c:extLst>
                    <c:strCache>
                      <c:ptCount val="1"/>
                      <c:pt idx="0">
                        <c:v>NOVIEMBRE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lumOff val="2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80000"/>
                          <a:lumOff val="2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80000"/>
                          <a:lumOff val="2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lumMod val="80000"/>
                        <a:lumOff val="2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'EJECUCIÓN PR. SEPTIEMBRE 2023'!$E$33:$E$39</c15:sqref>
                        </c15:fullRef>
                        <c15:formulaRef>
                          <c15:sqref>('EJECUCIÓN PR. SEPTIEMBRE 2023'!$E$36,'EJECUCIÓN PR. SEPTIEMBRE 2023'!$E$38:$E$39)</c15:sqref>
                        </c15:formulaRef>
                      </c:ext>
                    </c:extLst>
                    <c:strCache>
                      <c:ptCount val="3"/>
                      <c:pt idx="0">
                        <c:v>IMPUESTOS Y MULTAS</c:v>
                      </c:pt>
                      <c:pt idx="1">
                        <c:v>TOTAL PRESUPUESTO</c:v>
                      </c:pt>
                      <c:pt idx="2">
                        <c:v>% EJECUCIÓN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'EJECUCIÓN PR. SEPTIEMBRE 2023'!$L$33:$L$39</c15:sqref>
                        </c15:fullRef>
                        <c15:formulaRef>
                          <c15:sqref>('EJECUCIÓN PR. SEPTIEMBRE 2023'!$L$36,'EJECUCIÓN PR. SEPTIEMBRE 2023'!$L$38:$L$39)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69-4461-A0C6-A0D1497C183C}"/>
                  </c:ext>
                </c:extLst>
              </c15:ser>
            </c15:filteredBarSeries>
          </c:ext>
        </c:extLst>
      </c:barChart>
      <c:catAx>
        <c:axId val="106530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65290384"/>
        <c:crosses val="autoZero"/>
        <c:auto val="1"/>
        <c:lblAlgn val="ctr"/>
        <c:lblOffset val="100"/>
        <c:noMultiLvlLbl val="0"/>
      </c:catAx>
      <c:valAx>
        <c:axId val="106529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6530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'[1]ING VS GASTO'!$M$49</c:f>
              <c:strCache>
                <c:ptCount val="1"/>
                <c:pt idx="0">
                  <c:v>VALOR REPORTE DE EJECUCION INGRESO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shade val="30000"/>
                    <a:satMod val="115000"/>
                  </a:schemeClr>
                </a:gs>
                <a:gs pos="50000">
                  <a:schemeClr val="accent1">
                    <a:shade val="67500"/>
                    <a:satMod val="115000"/>
                  </a:schemeClr>
                </a:gs>
                <a:gs pos="100000">
                  <a:schemeClr val="accent1">
                    <a:shade val="100000"/>
                    <a:satMod val="115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('[1]ING VS GASTO'!$L$50,'[1]ING VS GASTO'!$L$53)</c:f>
              <c:strCache>
                <c:ptCount val="2"/>
                <c:pt idx="0">
                  <c:v>AFORO INICIAL DE INGRESO</c:v>
                </c:pt>
                <c:pt idx="1">
                  <c:v>TOTAL RECAUDO  EJECUTADO SIIF</c:v>
                </c:pt>
              </c:strCache>
            </c:strRef>
          </c:cat>
          <c:val>
            <c:numRef>
              <c:f>('[1]ING VS GASTO'!$M$50,'[1]ING VS GASTO'!$M$53)</c:f>
              <c:numCache>
                <c:formatCode>General</c:formatCode>
                <c:ptCount val="2"/>
                <c:pt idx="0">
                  <c:v>14069055409</c:v>
                </c:pt>
                <c:pt idx="1">
                  <c:v>6831780263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EA-4742-9F93-D80F09EAD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4677055"/>
        <c:axId val="1344677887"/>
      </c:barChart>
      <c:catAx>
        <c:axId val="1344677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4677887"/>
        <c:crosses val="autoZero"/>
        <c:auto val="1"/>
        <c:lblAlgn val="ctr"/>
        <c:lblOffset val="100"/>
        <c:noMultiLvlLbl val="0"/>
      </c:catAx>
      <c:valAx>
        <c:axId val="1344677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4677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'EJECUCIÓN PR. SEPTIEMBRE 2023'!$E$25</c:f>
              <c:strCache>
                <c:ptCount val="1"/>
                <c:pt idx="0">
                  <c:v>TOTAL PRESUPUESTO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63-4C16-9FD6-6B0A083CD938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63-4C16-9FD6-6B0A083CD9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'EJECUCIÓN PR. SEPTIEMBRE 2023'!$F$22:$G$22</c:f>
              <c:strCache>
                <c:ptCount val="2"/>
                <c:pt idx="0">
                  <c:v>APORTES NACIONAL</c:v>
                </c:pt>
                <c:pt idx="1">
                  <c:v>RECURSOS PROPIOS </c:v>
                </c:pt>
              </c:strCache>
            </c:strRef>
          </c:cat>
          <c:val>
            <c:numRef>
              <c:f>'EJECUCIÓN PR. SEPTIEMBRE 2023'!$F$25:$G$25</c:f>
              <c:numCache>
                <c:formatCode>_(* #,##0_);_(* \(#,##0\);_(* "-"_);_(@_)</c:formatCode>
                <c:ptCount val="2"/>
                <c:pt idx="0">
                  <c:v>24205492591</c:v>
                </c:pt>
                <c:pt idx="1">
                  <c:v>18744949133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63-4C16-9FD6-6B0A083CD938}"/>
            </c:ext>
          </c:extLst>
        </c:ser>
        <c:ser>
          <c:idx val="1"/>
          <c:order val="1"/>
          <c:tx>
            <c:strRef>
              <c:f>'EJECUCIÓN PR. SEPTIEMBRE 2023'!$E$26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063-4C16-9FD6-6B0A083CD9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063-4C16-9FD6-6B0A083CD9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'EJECUCIÓN PR. SEPTIEMBRE 2023'!$F$22:$G$22</c:f>
              <c:strCache>
                <c:ptCount val="2"/>
                <c:pt idx="0">
                  <c:v>APORTES NACIONAL</c:v>
                </c:pt>
                <c:pt idx="1">
                  <c:v>RECURSOS PROPIOS </c:v>
                </c:pt>
              </c:strCache>
            </c:strRef>
          </c:cat>
          <c:val>
            <c:numRef>
              <c:f>'EJECUCIÓN PR. SEPTIEMBRE 2023'!$F$26:$G$26</c:f>
              <c:numCache>
                <c:formatCode>0%</c:formatCode>
                <c:ptCount val="2"/>
                <c:pt idx="0">
                  <c:v>0.56356795458693432</c:v>
                </c:pt>
                <c:pt idx="1">
                  <c:v>0.43643204541306568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63-4C16-9FD6-6B0A083CD9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'EJECUCIÓN PR. SEPTIEMBRE 2023'!$E$334</c:f>
              <c:strCache>
                <c:ptCount val="1"/>
                <c:pt idx="0">
                  <c:v>PRESUPUESTO FUNCIONAMIENTO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2023'!$F$333:$G$333</c:f>
              <c:strCache>
                <c:ptCount val="2"/>
                <c:pt idx="0">
                  <c:v>APORTES NACIONAL 2024</c:v>
                </c:pt>
                <c:pt idx="1">
                  <c:v>APORTES NACIONAL 2025</c:v>
                </c:pt>
              </c:strCache>
            </c:strRef>
          </c:cat>
          <c:val>
            <c:numRef>
              <c:f>'EJECUCIÓN PR. SEPTIEMBRE 2023'!$F$334:$G$334</c:f>
              <c:numCache>
                <c:formatCode>_(* #,##0_);_(* \(#,##0\);_(* "-"_);_(@_)</c:formatCode>
                <c:ptCount val="2"/>
                <c:pt idx="0">
                  <c:v>16627017575</c:v>
                </c:pt>
                <c:pt idx="1">
                  <c:v>20803947221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C-4819-AEB4-7C4EB98BCD2C}"/>
            </c:ext>
          </c:extLst>
        </c:ser>
        <c:ser>
          <c:idx val="1"/>
          <c:order val="1"/>
          <c:tx>
            <c:strRef>
              <c:f>'EJECUCIÓN PR. SEPTIEMBRE 2023'!$E$335</c:f>
              <c:strCache>
                <c:ptCount val="1"/>
                <c:pt idx="0">
                  <c:v>PRESUPUESTO DE INVERSION 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2023'!$F$333:$G$333</c:f>
              <c:strCache>
                <c:ptCount val="2"/>
                <c:pt idx="0">
                  <c:v>APORTES NACIONAL 2024</c:v>
                </c:pt>
                <c:pt idx="1">
                  <c:v>APORTES NACIONAL 2025</c:v>
                </c:pt>
              </c:strCache>
            </c:strRef>
          </c:cat>
          <c:val>
            <c:numRef>
              <c:f>'EJECUCIÓN PR. SEPTIEMBRE 2023'!$F$335:$G$335</c:f>
              <c:numCache>
                <c:formatCode>_(* #,##0_);_(* \(#,##0\);_(* "-"_);_(@_)</c:formatCode>
                <c:ptCount val="2"/>
                <c:pt idx="0">
                  <c:v>2717000000</c:v>
                </c:pt>
                <c:pt idx="1">
                  <c:v>3401545370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4C-4819-AEB4-7C4EB98BCD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9789536"/>
        <c:axId val="969799936"/>
      </c:barChart>
      <c:catAx>
        <c:axId val="96978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9799936"/>
        <c:crosses val="autoZero"/>
        <c:auto val="1"/>
        <c:lblAlgn val="ctr"/>
        <c:lblOffset val="100"/>
        <c:noMultiLvlLbl val="0"/>
      </c:catAx>
      <c:valAx>
        <c:axId val="96979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978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'EJECUCIÓN PR. SEPTIEMBRE 2023'!$E$344</c:f>
              <c:strCache>
                <c:ptCount val="1"/>
                <c:pt idx="0">
                  <c:v>PRESUPUESTO FUNCIONAMIENTO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2023'!$F$343:$G$343</c:f>
              <c:strCache>
                <c:ptCount val="2"/>
                <c:pt idx="0">
                  <c:v>RECURSOS PROPIOS 2024</c:v>
                </c:pt>
                <c:pt idx="1">
                  <c:v>RECURSOS PROPIOS 2025</c:v>
                </c:pt>
              </c:strCache>
            </c:strRef>
          </c:cat>
          <c:val>
            <c:numRef>
              <c:f>'EJECUCIÓN PR. SEPTIEMBRE 2023'!$F$344:$G$344</c:f>
              <c:numCache>
                <c:formatCode>_(* #,##0_);_(* \(#,##0\);_(* "-"_);_(@_)</c:formatCode>
                <c:ptCount val="2"/>
                <c:pt idx="0">
                  <c:v>11117695055</c:v>
                </c:pt>
                <c:pt idx="1">
                  <c:v>13962423033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4-4F9C-9C24-94520C46E6CC}"/>
            </c:ext>
          </c:extLst>
        </c:ser>
        <c:ser>
          <c:idx val="1"/>
          <c:order val="1"/>
          <c:tx>
            <c:strRef>
              <c:f>'EJECUCIÓN PR. SEPTIEMBRE 2023'!$E$345</c:f>
              <c:strCache>
                <c:ptCount val="1"/>
                <c:pt idx="0">
                  <c:v>PRESUPUESTO DE INVERSION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2023'!$F$343:$G$343</c:f>
              <c:strCache>
                <c:ptCount val="2"/>
                <c:pt idx="0">
                  <c:v>RECURSOS PROPIOS 2024</c:v>
                </c:pt>
                <c:pt idx="1">
                  <c:v>RECURSOS PROPIOS 2025</c:v>
                </c:pt>
              </c:strCache>
            </c:strRef>
          </c:cat>
          <c:val>
            <c:numRef>
              <c:f>'EJECUCIÓN PR. SEPTIEMBRE 2023'!$F$345:$G$345</c:f>
              <c:numCache>
                <c:formatCode>_(* #,##0_);_(* \(#,##0\);_(* "-"_);_(@_)</c:formatCode>
                <c:ptCount val="2"/>
                <c:pt idx="0">
                  <c:v>5775290121</c:v>
                </c:pt>
                <c:pt idx="1">
                  <c:v>4782526100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4-4F9C-9C24-94520C46E6C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30384752"/>
        <c:axId val="930368944"/>
      </c:lineChart>
      <c:catAx>
        <c:axId val="93038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0368944"/>
        <c:crosses val="autoZero"/>
        <c:auto val="1"/>
        <c:lblAlgn val="ctr"/>
        <c:lblOffset val="100"/>
        <c:noMultiLvlLbl val="0"/>
      </c:catAx>
      <c:valAx>
        <c:axId val="93036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038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PRESUPUESTO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5"/>
          <c:order val="0"/>
          <c:tx>
            <c:strRef>
              <c:f>'EJECUCIÓN PR. SEPTIEMBRE 20 (2)'!$F$31</c:f>
              <c:strCache>
                <c:ptCount val="1"/>
                <c:pt idx="0">
                  <c:v>APROPIACIÓN VIGENTE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'EJECUCIÓN PR. SEPTIEMBRE 20 (2)'!$E$32:$E$37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 (2)'!$F$32:$F$37</c:f>
              <c:numCache>
                <c:formatCode>_(* #,##0_);_(* \(#,##0\);_(* "-"_);_(@_)</c:formatCode>
                <c:ptCount val="6"/>
                <c:pt idx="0">
                  <c:v>17618955544</c:v>
                </c:pt>
                <c:pt idx="1">
                  <c:v>14042921266</c:v>
                </c:pt>
                <c:pt idx="2">
                  <c:v>1464008781</c:v>
                </c:pt>
                <c:pt idx="3">
                  <c:v>242882195</c:v>
                </c:pt>
                <c:pt idx="4">
                  <c:v>110019970</c:v>
                </c:pt>
                <c:pt idx="5">
                  <c:v>8184071470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7-4B8B-B3B9-FC7BD2F4DD38}"/>
            </c:ext>
          </c:extLst>
        </c:ser>
        <c:ser>
          <c:idx val="6"/>
          <c:order val="1"/>
          <c:tx>
            <c:strRef>
              <c:f>'EJECUCIÓN PR. SEPTIEMBRE 20 (2)'!$G$31</c:f>
              <c:strCache>
                <c:ptCount val="1"/>
                <c:pt idx="0">
                  <c:v>CDP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'EJECUCIÓN PR. SEPTIEMBRE 20 (2)'!$E$32:$E$37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 (2)'!$G$32:$G$37</c:f>
              <c:numCache>
                <c:formatCode>_(* #,##0_);_(* \(#,##0\);_(* "-"_);_(@_)</c:formatCode>
                <c:ptCount val="6"/>
                <c:pt idx="0">
                  <c:v>16601644662</c:v>
                </c:pt>
                <c:pt idx="1">
                  <c:v>13075111339.57</c:v>
                </c:pt>
                <c:pt idx="2" formatCode="#,##0.00;[Red]#,##0.00">
                  <c:v>796871154.13999999</c:v>
                </c:pt>
                <c:pt idx="3" formatCode="#,##0.00;[Red]#,##0.00">
                  <c:v>199254296</c:v>
                </c:pt>
                <c:pt idx="4" formatCode="#,##0.00;[Red]#,##0.00">
                  <c:v>73131803</c:v>
                </c:pt>
                <c:pt idx="5" formatCode="#,##0.00;[Red]#,##0.00">
                  <c:v>8164361732.3199997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47-4B8B-B3B9-FC7BD2F4DD38}"/>
            </c:ext>
          </c:extLst>
        </c:ser>
        <c:ser>
          <c:idx val="7"/>
          <c:order val="2"/>
          <c:tx>
            <c:strRef>
              <c:f>'EJECUCIÓN PR. SEPTIEMBRE 20 (2)'!$H$31</c:f>
              <c:strCache>
                <c:ptCount val="1"/>
                <c:pt idx="0">
                  <c:v>COMPROMISOS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'EJECUCIÓN PR. SEPTIEMBRE 20 (2)'!$E$32:$E$37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 (2)'!$H$32:$H$37</c:f>
              <c:numCache>
                <c:formatCode>#,##0.00;[Red]#,##0.00</c:formatCode>
                <c:ptCount val="6"/>
                <c:pt idx="0">
                  <c:v>16601644662</c:v>
                </c:pt>
                <c:pt idx="1">
                  <c:v>13075111339.57</c:v>
                </c:pt>
                <c:pt idx="2">
                  <c:v>780039877.13999999</c:v>
                </c:pt>
                <c:pt idx="3">
                  <c:v>199254296</c:v>
                </c:pt>
                <c:pt idx="4">
                  <c:v>73131803</c:v>
                </c:pt>
                <c:pt idx="5">
                  <c:v>8143361924.3199997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47-4B8B-B3B9-FC7BD2F4DD38}"/>
            </c:ext>
          </c:extLst>
        </c:ser>
        <c:ser>
          <c:idx val="8"/>
          <c:order val="3"/>
          <c:tx>
            <c:strRef>
              <c:f>'EJECUCIÓN PR. SEPTIEMBRE 20 (2)'!$I$31</c:f>
              <c:strCache>
                <c:ptCount val="1"/>
                <c:pt idx="0">
                  <c:v>OBLIGACIONES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'EJECUCIÓN PR. SEPTIEMBRE 20 (2)'!$E$32:$E$37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 (2)'!$I$32:$I$37</c:f>
              <c:numCache>
                <c:formatCode>#,##0.00;[Red]#,##0.00</c:formatCode>
                <c:ptCount val="6"/>
                <c:pt idx="0">
                  <c:v>16601644662</c:v>
                </c:pt>
                <c:pt idx="1">
                  <c:v>5626351298.5699997</c:v>
                </c:pt>
                <c:pt idx="2">
                  <c:v>588008377.13999999</c:v>
                </c:pt>
                <c:pt idx="3">
                  <c:v>199254296</c:v>
                </c:pt>
                <c:pt idx="4">
                  <c:v>53525555</c:v>
                </c:pt>
                <c:pt idx="5">
                  <c:v>4330746076.75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47-4B8B-B3B9-FC7BD2F4DD38}"/>
            </c:ext>
          </c:extLst>
        </c:ser>
        <c:ser>
          <c:idx val="9"/>
          <c:order val="4"/>
          <c:tx>
            <c:strRef>
              <c:f>'EJECUCIÓN PR. SEPTIEMBRE 20 (2)'!$J$31</c:f>
              <c:strCache>
                <c:ptCount val="1"/>
                <c:pt idx="0">
                  <c:v>PAGOS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'EJECUCIÓN PR. SEPTIEMBRE 20 (2)'!$E$32:$E$37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 (2)'!$J$32:$J$37</c:f>
              <c:numCache>
                <c:formatCode>#,##0.00;[Red]#,##0.00</c:formatCode>
                <c:ptCount val="6"/>
                <c:pt idx="0">
                  <c:v>16601184263</c:v>
                </c:pt>
                <c:pt idx="1">
                  <c:v>5621723130.5699997</c:v>
                </c:pt>
                <c:pt idx="2">
                  <c:v>588008377.13999999</c:v>
                </c:pt>
                <c:pt idx="3">
                  <c:v>199254296</c:v>
                </c:pt>
                <c:pt idx="4">
                  <c:v>53525555</c:v>
                </c:pt>
                <c:pt idx="5">
                  <c:v>4330746076.75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47-4B8B-B3B9-FC7BD2F4DD38}"/>
            </c:ext>
          </c:extLst>
        </c:ser>
        <c:ser>
          <c:idx val="0"/>
          <c:order val="5"/>
          <c:tx>
            <c:strRef>
              <c:f>'EJECUCIÓN PR. SEPTIEMBRE 20 (2)'!$F$31</c:f>
              <c:strCache>
                <c:ptCount val="1"/>
                <c:pt idx="0">
                  <c:v>APROPIACIÓN VIGENTE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 (2)'!$E$32:$E$37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 (2)'!$F$32:$F$37</c:f>
              <c:numCache>
                <c:formatCode>_(* #,##0_);_(* \(#,##0\);_(* "-"_);_(@_)</c:formatCode>
                <c:ptCount val="6"/>
                <c:pt idx="0">
                  <c:v>17618955544</c:v>
                </c:pt>
                <c:pt idx="1">
                  <c:v>14042921266</c:v>
                </c:pt>
                <c:pt idx="2">
                  <c:v>1464008781</c:v>
                </c:pt>
                <c:pt idx="3">
                  <c:v>242882195</c:v>
                </c:pt>
                <c:pt idx="4">
                  <c:v>110019970</c:v>
                </c:pt>
                <c:pt idx="5">
                  <c:v>8184071470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2747-4B8B-B3B9-FC7BD2F4DD38}"/>
            </c:ext>
          </c:extLst>
        </c:ser>
        <c:ser>
          <c:idx val="1"/>
          <c:order val="6"/>
          <c:tx>
            <c:strRef>
              <c:f>'EJECUCIÓN PR. SEPTIEMBRE 20 (2)'!$G$31</c:f>
              <c:strCache>
                <c:ptCount val="1"/>
                <c:pt idx="0">
                  <c:v>CDP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 (2)'!$E$32:$E$37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 (2)'!$G$32:$G$37</c:f>
              <c:numCache>
                <c:formatCode>_(* #,##0_);_(* \(#,##0\);_(* "-"_);_(@_)</c:formatCode>
                <c:ptCount val="6"/>
                <c:pt idx="0">
                  <c:v>16601644662</c:v>
                </c:pt>
                <c:pt idx="1">
                  <c:v>13075111339.57</c:v>
                </c:pt>
                <c:pt idx="2" formatCode="#,##0.00;[Red]#,##0.00">
                  <c:v>796871154.13999999</c:v>
                </c:pt>
                <c:pt idx="3" formatCode="#,##0.00;[Red]#,##0.00">
                  <c:v>199254296</c:v>
                </c:pt>
                <c:pt idx="4" formatCode="#,##0.00;[Red]#,##0.00">
                  <c:v>73131803</c:v>
                </c:pt>
                <c:pt idx="5" formatCode="#,##0.00;[Red]#,##0.00">
                  <c:v>8164361732.3199997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47-4B8B-B3B9-FC7BD2F4DD38}"/>
            </c:ext>
          </c:extLst>
        </c:ser>
        <c:ser>
          <c:idx val="2"/>
          <c:order val="7"/>
          <c:tx>
            <c:strRef>
              <c:f>'EJECUCIÓN PR. SEPTIEMBRE 20 (2)'!$H$31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 (2)'!$E$32:$E$37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 (2)'!$H$32:$H$37</c:f>
              <c:numCache>
                <c:formatCode>#,##0.00;[Red]#,##0.00</c:formatCode>
                <c:ptCount val="6"/>
                <c:pt idx="0">
                  <c:v>16601644662</c:v>
                </c:pt>
                <c:pt idx="1">
                  <c:v>13075111339.57</c:v>
                </c:pt>
                <c:pt idx="2">
                  <c:v>780039877.13999999</c:v>
                </c:pt>
                <c:pt idx="3">
                  <c:v>199254296</c:v>
                </c:pt>
                <c:pt idx="4">
                  <c:v>73131803</c:v>
                </c:pt>
                <c:pt idx="5">
                  <c:v>8143361924.3199997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47-4B8B-B3B9-FC7BD2F4DD38}"/>
            </c:ext>
          </c:extLst>
        </c:ser>
        <c:ser>
          <c:idx val="3"/>
          <c:order val="8"/>
          <c:tx>
            <c:strRef>
              <c:f>'EJECUCIÓN PR. SEPTIEMBRE 20 (2)'!$I$31</c:f>
              <c:strCache>
                <c:ptCount val="1"/>
                <c:pt idx="0">
                  <c:v>OBLIGACIONES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 (2)'!$E$32:$E$37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 (2)'!$I$32:$I$37</c:f>
              <c:numCache>
                <c:formatCode>#,##0.00;[Red]#,##0.00</c:formatCode>
                <c:ptCount val="6"/>
                <c:pt idx="0">
                  <c:v>16601644662</c:v>
                </c:pt>
                <c:pt idx="1">
                  <c:v>5626351298.5699997</c:v>
                </c:pt>
                <c:pt idx="2">
                  <c:v>588008377.13999999</c:v>
                </c:pt>
                <c:pt idx="3">
                  <c:v>199254296</c:v>
                </c:pt>
                <c:pt idx="4">
                  <c:v>53525555</c:v>
                </c:pt>
                <c:pt idx="5">
                  <c:v>4330746076.75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47-4B8B-B3B9-FC7BD2F4DD38}"/>
            </c:ext>
          </c:extLst>
        </c:ser>
        <c:ser>
          <c:idx val="4"/>
          <c:order val="9"/>
          <c:tx>
            <c:strRef>
              <c:f>'EJECUCIÓN PR. SEPTIEMBRE 20 (2)'!$J$31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'EJECUCIÓN PR. SEPTIEMBRE 20 (2)'!$E$32:$E$37</c:f>
              <c:strCache>
                <c:ptCount val="6"/>
                <c:pt idx="0">
                  <c:v>GASTOS DE PERSONAL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GTOS COMERCIALIZACIÓN Y PRODUCCIÓN</c:v>
                </c:pt>
                <c:pt idx="4">
                  <c:v>IMPUESTOS Y MULTAS</c:v>
                </c:pt>
                <c:pt idx="5">
                  <c:v>INVERSIÓN</c:v>
                </c:pt>
              </c:strCache>
            </c:strRef>
          </c:cat>
          <c:val>
            <c:numRef>
              <c:f>'EJECUCIÓN PR. SEPTIEMBRE 20 (2)'!$J$32:$J$37</c:f>
              <c:numCache>
                <c:formatCode>#,##0.00;[Red]#,##0.00</c:formatCode>
                <c:ptCount val="6"/>
                <c:pt idx="0">
                  <c:v>16601184263</c:v>
                </c:pt>
                <c:pt idx="1">
                  <c:v>5621723130.5699997</c:v>
                </c:pt>
                <c:pt idx="2">
                  <c:v>588008377.13999999</c:v>
                </c:pt>
                <c:pt idx="3">
                  <c:v>199254296</c:v>
                </c:pt>
                <c:pt idx="4">
                  <c:v>53525555</c:v>
                </c:pt>
                <c:pt idx="5">
                  <c:v>4330746076.75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47-4B8B-B3B9-FC7BD2F4DD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65305072"/>
        <c:axId val="1065298000"/>
        <c:extLst/>
      </c:barChart>
      <c:catAx>
        <c:axId val="1065305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65298000"/>
        <c:crosses val="autoZero"/>
        <c:auto val="1"/>
        <c:lblAlgn val="ctr"/>
        <c:lblOffset val="100"/>
        <c:noMultiLvlLbl val="0"/>
      </c:catAx>
      <c:valAx>
        <c:axId val="1065298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6530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'EJECUCIÓN PR. SEPTIEMBRE 20 (2)'!$G$31</c:f>
              <c:strCache>
                <c:ptCount val="1"/>
                <c:pt idx="0">
                  <c:v>CDP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'EJECUCIÓN PR. SEPTIEMBRE 20 (2)'!$E$33:$E$39</c15:sqref>
                  </c15:fullRef>
                </c:ext>
              </c:extLst>
              <c:f>('EJECUCIÓN PR. SEPTIEMBRE 20 (2)'!$E$36,'EJECUCIÓN PR. SEPTIEMBRE 20 (2)'!$E$38:$E$39)</c:f>
              <c:strCache>
                <c:ptCount val="3"/>
                <c:pt idx="0">
                  <c:v>IMPUESTOS Y MULTAS</c:v>
                </c:pt>
                <c:pt idx="1">
                  <c:v>TOTAL PRESUPUESTO</c:v>
                </c:pt>
                <c:pt idx="2">
                  <c:v>% EJECUCIÓN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'EJECUCIÓN PR. SEPTIEMBRE 20 (2)'!$G$33:$G$39</c15:sqref>
                  </c15:fullRef>
                </c:ext>
              </c:extLst>
              <c:f>('EJECUCIÓN PR. SEPTIEMBRE 20 (2)'!$G$36,'EJECUCIÓN PR. SEPTIEMBRE 20 (2)'!$G$38:$G$39)</c:f>
              <c:numCache>
                <c:formatCode>#,##0.00;[Red]#,##0.00</c:formatCode>
                <c:ptCount val="3"/>
                <c:pt idx="0">
                  <c:v>73131803</c:v>
                </c:pt>
                <c:pt idx="1" formatCode="_(* #,##0_);_(* \(#,##0\);_(* &quot;-&quot;_);_(@_)">
                  <c:v>38910374987.029999</c:v>
                </c:pt>
                <c:pt idx="2" formatCode="0.00%">
                  <c:v>0.93393434127890351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F-4ACF-9DEA-9C9ED6D22D64}"/>
            </c:ext>
          </c:extLst>
        </c:ser>
        <c:ser>
          <c:idx val="3"/>
          <c:order val="2"/>
          <c:tx>
            <c:strRef>
              <c:f>'EJECUCIÓN PR. SEPTIEMBRE 20 (2)'!$H$31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'EJECUCIÓN PR. SEPTIEMBRE 20 (2)'!$E$33:$E$39</c15:sqref>
                  </c15:fullRef>
                </c:ext>
              </c:extLst>
              <c:f>('EJECUCIÓN PR. SEPTIEMBRE 20 (2)'!$E$36,'EJECUCIÓN PR. SEPTIEMBRE 20 (2)'!$E$38:$E$39)</c:f>
              <c:strCache>
                <c:ptCount val="3"/>
                <c:pt idx="0">
                  <c:v>IMPUESTOS Y MULTAS</c:v>
                </c:pt>
                <c:pt idx="1">
                  <c:v>TOTAL PRESUPUESTO</c:v>
                </c:pt>
                <c:pt idx="2">
                  <c:v>% EJECUCIÓN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'EJECUCIÓN PR. SEPTIEMBRE 20 (2)'!$H$33:$H$39</c15:sqref>
                  </c15:fullRef>
                </c:ext>
              </c:extLst>
              <c:f>('EJECUCIÓN PR. SEPTIEMBRE 20 (2)'!$H$36,'EJECUCIÓN PR. SEPTIEMBRE 20 (2)'!$H$38:$H$39)</c:f>
              <c:numCache>
                <c:formatCode>#,##0.00;[Red]#,##0.00</c:formatCode>
                <c:ptCount val="3"/>
                <c:pt idx="0">
                  <c:v>73131803</c:v>
                </c:pt>
                <c:pt idx="1" formatCode="_(* #,##0_);_(* \(#,##0\);_(* &quot;-&quot;_);_(@_)">
                  <c:v>38872543902.029999</c:v>
                </c:pt>
                <c:pt idx="2" formatCode="0.00%">
                  <c:v>0.93302631226450528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F-4ACF-9DEA-9C9ED6D22D64}"/>
            </c:ext>
          </c:extLst>
        </c:ser>
        <c:ser>
          <c:idx val="4"/>
          <c:order val="3"/>
          <c:tx>
            <c:strRef>
              <c:f>'EJECUCIÓN PR. SEPTIEMBRE 20 (2)'!$I$31</c:f>
              <c:strCache>
                <c:ptCount val="1"/>
                <c:pt idx="0">
                  <c:v>OBLIGACIONES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'EJECUCIÓN PR. SEPTIEMBRE 20 (2)'!$E$33:$E$39</c15:sqref>
                  </c15:fullRef>
                </c:ext>
              </c:extLst>
              <c:f>('EJECUCIÓN PR. SEPTIEMBRE 20 (2)'!$E$36,'EJECUCIÓN PR. SEPTIEMBRE 20 (2)'!$E$38:$E$39)</c:f>
              <c:strCache>
                <c:ptCount val="3"/>
                <c:pt idx="0">
                  <c:v>IMPUESTOS Y MULTAS</c:v>
                </c:pt>
                <c:pt idx="1">
                  <c:v>TOTAL PRESUPUESTO</c:v>
                </c:pt>
                <c:pt idx="2">
                  <c:v>% EJECUCIÓN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'EJECUCIÓN PR. SEPTIEMBRE 20 (2)'!$I$33:$I$39</c15:sqref>
                  </c15:fullRef>
                </c:ext>
              </c:extLst>
              <c:f>('EJECUCIÓN PR. SEPTIEMBRE 20 (2)'!$I$36,'EJECUCIÓN PR. SEPTIEMBRE 20 (2)'!$I$38:$I$39)</c:f>
              <c:numCache>
                <c:formatCode>#,##0.00;[Red]#,##0.00</c:formatCode>
                <c:ptCount val="3"/>
                <c:pt idx="0">
                  <c:v>53525555</c:v>
                </c:pt>
                <c:pt idx="1" formatCode="_(* #,##0_);_(* \(#,##0\);_(* &quot;-&quot;_);_(@_)">
                  <c:v>27399530265.459999</c:v>
                </c:pt>
                <c:pt idx="2" formatCode="0.00%">
                  <c:v>0.65764882138384606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F-4ACF-9DEA-9C9ED6D22D64}"/>
            </c:ext>
          </c:extLst>
        </c:ser>
        <c:ser>
          <c:idx val="5"/>
          <c:order val="4"/>
          <c:tx>
            <c:strRef>
              <c:f>'EJECUCIÓN PR. SEPTIEMBRE 20 (2)'!$J$31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'EJECUCIÓN PR. SEPTIEMBRE 20 (2)'!$E$33:$E$39</c15:sqref>
                  </c15:fullRef>
                </c:ext>
              </c:extLst>
              <c:f>('EJECUCIÓN PR. SEPTIEMBRE 20 (2)'!$E$36,'EJECUCIÓN PR. SEPTIEMBRE 20 (2)'!$E$38:$E$39)</c:f>
              <c:strCache>
                <c:ptCount val="3"/>
                <c:pt idx="0">
                  <c:v>IMPUESTOS Y MULTAS</c:v>
                </c:pt>
                <c:pt idx="1">
                  <c:v>TOTAL PRESUPUESTO</c:v>
                </c:pt>
                <c:pt idx="2">
                  <c:v>% EJECUCIÓN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'EJECUCIÓN PR. SEPTIEMBRE 20 (2)'!$J$33:$J$39</c15:sqref>
                  </c15:fullRef>
                </c:ext>
              </c:extLst>
              <c:f>('EJECUCIÓN PR. SEPTIEMBRE 20 (2)'!$J$36,'EJECUCIÓN PR. SEPTIEMBRE 20 (2)'!$J$38:$J$39)</c:f>
              <c:numCache>
                <c:formatCode>#,##0.00;[Red]#,##0.00</c:formatCode>
                <c:ptCount val="3"/>
                <c:pt idx="0">
                  <c:v>53525555</c:v>
                </c:pt>
                <c:pt idx="1" formatCode="_(* #,##0_);_(* \(#,##0\);_(* &quot;-&quot;_);_(@_)">
                  <c:v>27394441698.459999</c:v>
                </c:pt>
                <c:pt idx="2" formatCode="0.00%">
                  <c:v>0.65752668461516206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3F-4ACF-9DEA-9C9ED6D22D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65309968"/>
        <c:axId val="1065290384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'EJECUCIÓN PR. SEPTIEMBRE 20 (2)'!$F$31</c15:sqref>
                        </c15:formulaRef>
                      </c:ext>
                    </c:extLst>
                    <c:strCache>
                      <c:ptCount val="1"/>
                      <c:pt idx="0">
                        <c:v>APROPIACIÓN VIGENTE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'EJECUCIÓN PR. SEPTIEMBRE 20 (2)'!$E$33:$E$39</c15:sqref>
                        </c15:fullRef>
                        <c15:formulaRef>
                          <c15:sqref>('EJECUCIÓN PR. SEPTIEMBRE 20 (2)'!$E$36,'EJECUCIÓN PR. SEPTIEMBRE 20 (2)'!$E$38:$E$39)</c15:sqref>
                        </c15:formulaRef>
                      </c:ext>
                    </c:extLst>
                    <c:strCache>
                      <c:ptCount val="3"/>
                      <c:pt idx="0">
                        <c:v>IMPUESTOS Y MULTAS</c:v>
                      </c:pt>
                      <c:pt idx="1">
                        <c:v>TOTAL PRESUPUESTO</c:v>
                      </c:pt>
                      <c:pt idx="2">
                        <c:v>% EJECUCIÓN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'EJECUCIÓN PR. SEPTIEMBRE 20 (2)'!$F$33:$F$39</c15:sqref>
                        </c15:fullRef>
                        <c15:formulaRef>
                          <c15:sqref>('EJECUCIÓN PR. SEPTIEMBRE 20 (2)'!$F$36,'EJECUCIÓN PR. SEPTIEMBRE 20 (2)'!$F$38:$F$39)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110019970</c:v>
                      </c:pt>
                      <c:pt idx="1">
                        <c:v>41662859226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413F-4ACF-9DEA-9C9ED6D22D64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'EJECUCIÓN PR. SEPTIEMBRE 20 (2)'!$K$31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lumOff val="2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80000"/>
                          <a:lumOff val="2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80000"/>
                          <a:lumOff val="2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lumMod val="80000"/>
                        <a:lumOff val="2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'EJECUCIÓN PR. SEPTIEMBRE 20 (2)'!$E$33:$E$39</c15:sqref>
                        </c15:fullRef>
                        <c15:formulaRef>
                          <c15:sqref>('EJECUCIÓN PR. SEPTIEMBRE 20 (2)'!$E$36,'EJECUCIÓN PR. SEPTIEMBRE 20 (2)'!$E$38:$E$39)</c15:sqref>
                        </c15:formulaRef>
                      </c:ext>
                    </c:extLst>
                    <c:strCache>
                      <c:ptCount val="3"/>
                      <c:pt idx="0">
                        <c:v>IMPUESTOS Y MULTAS</c:v>
                      </c:pt>
                      <c:pt idx="1">
                        <c:v>TOTAL PRESUPUESTO</c:v>
                      </c:pt>
                      <c:pt idx="2">
                        <c:v>% EJECUCIÓN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'EJECUCIÓN PR. SEPTIEMBRE 20 (2)'!$K$33:$K$39</c15:sqref>
                        </c15:fullRef>
                        <c15:formulaRef>
                          <c15:sqref>('EJECUCIÓN PR. SEPTIEMBRE 20 (2)'!$K$36,'EJECUCIÓN PR. SEPTIEMBRE 20 (2)'!$K$38:$K$39)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13F-4ACF-9DEA-9C9ED6D22D64}"/>
                  </c:ext>
                </c:extLst>
              </c15:ser>
            </c15:filteredBarSeries>
            <c15:filteredBarSeries>
              <c15:ser>
                <c:idx val="7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'EJECUCIÓN PR. SEPTIEMBRE 20 (2)'!$L$31</c15:sqref>
                        </c15:formulaRef>
                      </c:ext>
                    </c:extLst>
                    <c:strCache>
                      <c:ptCount val="1"/>
                      <c:pt idx="0">
                        <c:v>NOVIEMBRE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lumOff val="2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80000"/>
                          <a:lumOff val="2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80000"/>
                          <a:lumOff val="2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lumMod val="80000"/>
                        <a:lumOff val="2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'EJECUCIÓN PR. SEPTIEMBRE 20 (2)'!$E$33:$E$39</c15:sqref>
                        </c15:fullRef>
                        <c15:formulaRef>
                          <c15:sqref>('EJECUCIÓN PR. SEPTIEMBRE 20 (2)'!$E$36,'EJECUCIÓN PR. SEPTIEMBRE 20 (2)'!$E$38:$E$39)</c15:sqref>
                        </c15:formulaRef>
                      </c:ext>
                    </c:extLst>
                    <c:strCache>
                      <c:ptCount val="3"/>
                      <c:pt idx="0">
                        <c:v>IMPUESTOS Y MULTAS</c:v>
                      </c:pt>
                      <c:pt idx="1">
                        <c:v>TOTAL PRESUPUESTO</c:v>
                      </c:pt>
                      <c:pt idx="2">
                        <c:v>% EJECUCIÓN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'EJECUCIÓN PR. SEPTIEMBRE 20 (2)'!$L$33:$L$39</c15:sqref>
                        </c15:fullRef>
                        <c15:formulaRef>
                          <c15:sqref>('EJECUCIÓN PR. SEPTIEMBRE 20 (2)'!$L$36,'EJECUCIÓN PR. SEPTIEMBRE 20 (2)'!$L$38:$L$39)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13F-4ACF-9DEA-9C9ED6D22D64}"/>
                  </c:ext>
                </c:extLst>
              </c15:ser>
            </c15:filteredBarSeries>
          </c:ext>
        </c:extLst>
      </c:barChart>
      <c:catAx>
        <c:axId val="106530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65290384"/>
        <c:crosses val="autoZero"/>
        <c:auto val="1"/>
        <c:lblAlgn val="ctr"/>
        <c:lblOffset val="100"/>
        <c:noMultiLvlLbl val="0"/>
      </c:catAx>
      <c:valAx>
        <c:axId val="106529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6530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'[1]ING VS GASTO'!$M$49</c:f>
              <c:strCache>
                <c:ptCount val="1"/>
                <c:pt idx="0">
                  <c:v>VALOR REPORTE DE EJECUCION INGRESO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shade val="30000"/>
                    <a:satMod val="115000"/>
                  </a:schemeClr>
                </a:gs>
                <a:gs pos="50000">
                  <a:schemeClr val="accent1">
                    <a:shade val="67500"/>
                    <a:satMod val="115000"/>
                  </a:schemeClr>
                </a:gs>
                <a:gs pos="100000">
                  <a:schemeClr val="accent1">
                    <a:shade val="100000"/>
                    <a:satMod val="115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('[1]ING VS GASTO'!$L$50,'[1]ING VS GASTO'!$L$53)</c:f>
              <c:strCache>
                <c:ptCount val="2"/>
                <c:pt idx="0">
                  <c:v>AFORO INICIAL DE INGRESO</c:v>
                </c:pt>
                <c:pt idx="1">
                  <c:v>TOTAL RECAUDO  EJECUTADO SIIF</c:v>
                </c:pt>
              </c:strCache>
            </c:strRef>
          </c:cat>
          <c:val>
            <c:numRef>
              <c:f>('[1]ING VS GASTO'!$M$50,'[1]ING VS GASTO'!$M$53)</c:f>
              <c:numCache>
                <c:formatCode>General</c:formatCode>
                <c:ptCount val="2"/>
                <c:pt idx="0">
                  <c:v>14069055409</c:v>
                </c:pt>
                <c:pt idx="1">
                  <c:v>6831780263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42-4EC1-977F-D0DED627F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4677055"/>
        <c:axId val="1344677887"/>
      </c:barChart>
      <c:catAx>
        <c:axId val="1344677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4677887"/>
        <c:crosses val="autoZero"/>
        <c:auto val="1"/>
        <c:lblAlgn val="ctr"/>
        <c:lblOffset val="100"/>
        <c:noMultiLvlLbl val="0"/>
      </c:catAx>
      <c:valAx>
        <c:axId val="1344677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4677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100483</xdr:colOff>
      <xdr:row>2</xdr:row>
      <xdr:rowOff>73269</xdr:rowOff>
    </xdr:from>
    <xdr:to>
      <xdr:col>21</xdr:col>
      <xdr:colOff>491951</xdr:colOff>
      <xdr:row>38</xdr:row>
      <xdr:rowOff>41868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75ABDC-5FFC-44BC-983A-C6E984D54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146539</xdr:colOff>
      <xdr:row>41</xdr:row>
      <xdr:rowOff>62801</xdr:rowOff>
    </xdr:from>
    <xdr:to>
      <xdr:col>17</xdr:col>
      <xdr:colOff>701290</xdr:colOff>
      <xdr:row>52</xdr:row>
      <xdr:rowOff>110320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B25F25-86C9-495F-B0D9-74320B92A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289</xdr:row>
      <xdr:rowOff>0</xdr:rowOff>
    </xdr:from>
    <xdr:to>
      <xdr:col>9</xdr:col>
      <xdr:colOff>1295819</xdr:colOff>
      <xdr:row>303</xdr:row>
      <xdr:rowOff>105507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3D6B0F2-5F2D-4545-8310-36788109D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125067</xdr:colOff>
      <xdr:row>20</xdr:row>
      <xdr:rowOff>0</xdr:rowOff>
    </xdr:from>
    <xdr:to>
      <xdr:col>10</xdr:col>
      <xdr:colOff>1251501</xdr:colOff>
      <xdr:row>29</xdr:row>
      <xdr:rowOff>52595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4BD28E5-F266-4C2F-BCDA-B6049A15F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41413</xdr:colOff>
      <xdr:row>327</xdr:row>
      <xdr:rowOff>160682</xdr:rowOff>
    </xdr:from>
    <xdr:to>
      <xdr:col>12</xdr:col>
      <xdr:colOff>298174</xdr:colOff>
      <xdr:row>340</xdr:row>
      <xdr:rowOff>170621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16E9B29-34AC-45F1-9105-1CDFF4255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91108</xdr:colOff>
      <xdr:row>341</xdr:row>
      <xdr:rowOff>177248</xdr:rowOff>
    </xdr:from>
    <xdr:to>
      <xdr:col>12</xdr:col>
      <xdr:colOff>347869</xdr:colOff>
      <xdr:row>355</xdr:row>
      <xdr:rowOff>13253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6617D7F-6925-4BD5-B689-56467E908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100483</xdr:colOff>
      <xdr:row>2</xdr:row>
      <xdr:rowOff>73269</xdr:rowOff>
    </xdr:from>
    <xdr:to>
      <xdr:col>21</xdr:col>
      <xdr:colOff>491951</xdr:colOff>
      <xdr:row>38</xdr:row>
      <xdr:rowOff>41868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C58DD3-A85C-434F-9D48-3CEAD9D4CC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146539</xdr:colOff>
      <xdr:row>41</xdr:row>
      <xdr:rowOff>62801</xdr:rowOff>
    </xdr:from>
    <xdr:to>
      <xdr:col>17</xdr:col>
      <xdr:colOff>701290</xdr:colOff>
      <xdr:row>52</xdr:row>
      <xdr:rowOff>110320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2231DE-AEA0-40CF-907F-78FBC9445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289</xdr:row>
      <xdr:rowOff>0</xdr:rowOff>
    </xdr:from>
    <xdr:to>
      <xdr:col>9</xdr:col>
      <xdr:colOff>1295819</xdr:colOff>
      <xdr:row>303</xdr:row>
      <xdr:rowOff>105507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8D0E988-1D09-4C68-88CF-F9F26FD43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125067</xdr:colOff>
      <xdr:row>20</xdr:row>
      <xdr:rowOff>0</xdr:rowOff>
    </xdr:from>
    <xdr:to>
      <xdr:col>10</xdr:col>
      <xdr:colOff>1251501</xdr:colOff>
      <xdr:row>29</xdr:row>
      <xdr:rowOff>52595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18BD344-C611-419F-9857-A5DD56A16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41413</xdr:colOff>
      <xdr:row>327</xdr:row>
      <xdr:rowOff>160682</xdr:rowOff>
    </xdr:from>
    <xdr:to>
      <xdr:col>12</xdr:col>
      <xdr:colOff>298174</xdr:colOff>
      <xdr:row>340</xdr:row>
      <xdr:rowOff>170621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58703A0-36BC-40FF-9080-ED87E0BD5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91108</xdr:colOff>
      <xdr:row>341</xdr:row>
      <xdr:rowOff>177248</xdr:rowOff>
    </xdr:from>
    <xdr:to>
      <xdr:col>12</xdr:col>
      <xdr:colOff>347869</xdr:colOff>
      <xdr:row>355</xdr:row>
      <xdr:rowOff>13253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443853A-53D2-46A8-89C9-5EB9FA26A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BROS\INFORME%20PLANTILLA%20FORMULADA%20EJECUCION%20a%20AGOST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 PPT AGOS22"/>
      <sheetName val="ACUE13 LEVANTPREVIO"/>
      <sheetName val="ADICIO PPTO RES 013369 JUL12-22"/>
      <sheetName val="FORMULADO"/>
      <sheetName val="NAC-PROPIOS 2022"/>
      <sheetName val="Agosto22"/>
      <sheetName val="NAC-PROPIOS 2021"/>
      <sheetName val="EJEC DEC LIQ A JUNIO 2022"/>
      <sheetName val="EJEC INVERSION"/>
      <sheetName val="EJEC FORM INVERSION JUNIO22"/>
      <sheetName val="EJEC INGR ABRI22"/>
      <sheetName val="ANAL ING"/>
      <sheetName val="ANAL ING AGO22"/>
      <sheetName val="ANAL ING AGO22 (2)"/>
      <sheetName val="ING VS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9">
          <cell r="M49" t="str">
            <v>VALOR REPORTE DE EJECUCION INGRESO</v>
          </cell>
        </row>
        <row r="50">
          <cell r="L50" t="str">
            <v>AFORO INICIAL DE INGRESO</v>
          </cell>
          <cell r="M50">
            <v>14069055409</v>
          </cell>
        </row>
        <row r="53">
          <cell r="L53" t="str">
            <v>TOTAL RECAUDO  EJECUTADO SIIF</v>
          </cell>
          <cell r="M53">
            <v>6831780263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P465"/>
  <sheetViews>
    <sheetView topLeftCell="B16" zoomScaleNormal="100" workbookViewId="0">
      <selection activeCell="E21" sqref="E21:H25"/>
    </sheetView>
  </sheetViews>
  <sheetFormatPr baseColWidth="10" defaultColWidth="11.42578125" defaultRowHeight="15" x14ac:dyDescent="0.25"/>
  <cols>
    <col min="1" max="2" width="6.42578125" customWidth="1"/>
    <col min="3" max="3" width="4.85546875" customWidth="1"/>
    <col min="4" max="4" width="5.42578125" customWidth="1"/>
    <col min="5" max="5" width="50.42578125" customWidth="1"/>
    <col min="6" max="6" width="22" customWidth="1"/>
    <col min="7" max="7" width="24" customWidth="1"/>
    <col min="8" max="8" width="22.5703125" customWidth="1"/>
    <col min="9" max="9" width="22.28515625" customWidth="1"/>
    <col min="10" max="11" width="21.28515625" customWidth="1"/>
    <col min="12" max="12" width="22.140625" customWidth="1"/>
    <col min="13" max="13" width="20.85546875" customWidth="1"/>
    <col min="14" max="14" width="19.5703125" customWidth="1"/>
  </cols>
  <sheetData>
    <row r="2" spans="5:12" x14ac:dyDescent="0.25">
      <c r="F2" t="s">
        <v>0</v>
      </c>
      <c r="G2" t="s">
        <v>1</v>
      </c>
      <c r="H2" t="s">
        <v>2</v>
      </c>
      <c r="I2" t="s">
        <v>3</v>
      </c>
      <c r="J2" t="s">
        <v>4</v>
      </c>
    </row>
    <row r="4" spans="5:12" ht="31.5" x14ac:dyDescent="0.25">
      <c r="E4" s="1" t="s">
        <v>5</v>
      </c>
      <c r="F4" s="2" t="s">
        <v>6</v>
      </c>
      <c r="G4" s="3" t="s">
        <v>7</v>
      </c>
      <c r="H4" s="4" t="s">
        <v>8</v>
      </c>
      <c r="I4" s="5" t="s">
        <v>9</v>
      </c>
      <c r="J4" s="6" t="s">
        <v>10</v>
      </c>
      <c r="K4" s="6" t="s">
        <v>11</v>
      </c>
      <c r="L4" s="7" t="s">
        <v>12</v>
      </c>
    </row>
    <row r="5" spans="5:12" ht="15.75" x14ac:dyDescent="0.25">
      <c r="E5" s="8" t="s">
        <v>13</v>
      </c>
      <c r="F5" s="9">
        <v>7395639071</v>
      </c>
      <c r="G5" s="9">
        <v>2349835674</v>
      </c>
      <c r="H5" s="9">
        <f t="shared" ref="H5:H10" si="0">F5+G5</f>
        <v>9745474745</v>
      </c>
      <c r="I5" s="10">
        <v>5068651350</v>
      </c>
      <c r="J5" s="10">
        <v>5011885356</v>
      </c>
      <c r="K5" s="10">
        <v>4581325815</v>
      </c>
      <c r="L5" s="10">
        <v>4534814662</v>
      </c>
    </row>
    <row r="6" spans="5:12" ht="15.75" x14ac:dyDescent="0.25">
      <c r="E6" s="8" t="s">
        <v>14</v>
      </c>
      <c r="F6" s="9"/>
      <c r="G6" s="9">
        <v>4135446597</v>
      </c>
      <c r="H6" s="9">
        <f t="shared" si="0"/>
        <v>4135446597</v>
      </c>
      <c r="I6" s="10">
        <v>2132490201</v>
      </c>
      <c r="J6" s="10">
        <v>1519083315</v>
      </c>
      <c r="K6" s="10">
        <v>967970742</v>
      </c>
      <c r="L6" s="10">
        <v>967970742</v>
      </c>
    </row>
    <row r="7" spans="5:12" ht="15.75" x14ac:dyDescent="0.25">
      <c r="E7" s="8" t="s">
        <v>15</v>
      </c>
      <c r="F7" s="9">
        <v>1474286231</v>
      </c>
      <c r="G7" s="9">
        <f>1200000000+480810000+60000000</f>
        <v>1740810000</v>
      </c>
      <c r="H7" s="9">
        <f t="shared" si="0"/>
        <v>3215096231</v>
      </c>
      <c r="I7" s="10"/>
      <c r="J7" s="10"/>
      <c r="K7" s="10"/>
      <c r="L7" s="10"/>
    </row>
    <row r="8" spans="5:12" ht="30.75" x14ac:dyDescent="0.25">
      <c r="E8" s="11" t="s">
        <v>16</v>
      </c>
      <c r="F8" s="9">
        <v>18334000</v>
      </c>
      <c r="G8" s="9">
        <v>31020000</v>
      </c>
      <c r="H8" s="9">
        <f t="shared" si="0"/>
        <v>49354000</v>
      </c>
      <c r="I8" s="10"/>
      <c r="J8" s="10"/>
      <c r="K8" s="10"/>
      <c r="L8" s="10"/>
    </row>
    <row r="9" spans="5:12" ht="15.75" x14ac:dyDescent="0.25">
      <c r="E9" s="8" t="s">
        <v>17</v>
      </c>
      <c r="F9" s="9">
        <v>0</v>
      </c>
      <c r="G9" s="9">
        <v>206800000</v>
      </c>
      <c r="H9" s="9">
        <f t="shared" si="0"/>
        <v>206800000</v>
      </c>
      <c r="I9" s="10">
        <v>71792206</v>
      </c>
      <c r="J9" s="10">
        <v>53110722</v>
      </c>
      <c r="K9" s="10">
        <v>10202206</v>
      </c>
      <c r="L9" s="10">
        <v>10202206</v>
      </c>
    </row>
    <row r="10" spans="5:12" ht="15.75" x14ac:dyDescent="0.25">
      <c r="E10" s="8" t="s">
        <v>18</v>
      </c>
      <c r="F10" s="9">
        <v>851852208</v>
      </c>
      <c r="G10" s="9">
        <v>1900278729</v>
      </c>
      <c r="H10" s="9">
        <f t="shared" si="0"/>
        <v>2752130937</v>
      </c>
      <c r="I10" s="10">
        <v>861786656</v>
      </c>
      <c r="J10" s="10">
        <v>0</v>
      </c>
      <c r="K10" s="10">
        <v>0</v>
      </c>
      <c r="L10" s="10">
        <v>0</v>
      </c>
    </row>
    <row r="11" spans="5:12" ht="15.75" x14ac:dyDescent="0.25">
      <c r="E11" s="12" t="s">
        <v>19</v>
      </c>
      <c r="F11" s="13">
        <f t="shared" ref="F11:L11" si="1">SUM(F5:F10)</f>
        <v>9740111510</v>
      </c>
      <c r="G11" s="13">
        <f t="shared" si="1"/>
        <v>10364191000</v>
      </c>
      <c r="H11" s="13">
        <f t="shared" si="1"/>
        <v>20104302510</v>
      </c>
      <c r="I11" s="10">
        <f t="shared" si="1"/>
        <v>8134720413</v>
      </c>
      <c r="J11" s="10">
        <f t="shared" si="1"/>
        <v>6584079393</v>
      </c>
      <c r="K11" s="10">
        <f t="shared" si="1"/>
        <v>5559498763</v>
      </c>
      <c r="L11" s="10">
        <f t="shared" si="1"/>
        <v>5512987610</v>
      </c>
    </row>
    <row r="12" spans="5:12" x14ac:dyDescent="0.25">
      <c r="E12" s="14" t="s">
        <v>20</v>
      </c>
      <c r="F12" s="15">
        <v>9740111510</v>
      </c>
      <c r="G12" s="15">
        <v>10364191000</v>
      </c>
      <c r="H12" s="10">
        <v>20104302510</v>
      </c>
      <c r="I12" s="16">
        <f>I11/H11</f>
        <v>0.40462584608213797</v>
      </c>
      <c r="J12" s="16">
        <f>J11/H11</f>
        <v>0.32749603671776423</v>
      </c>
      <c r="K12" s="16">
        <f>K11/H11</f>
        <v>0.27653278497150907</v>
      </c>
      <c r="L12" s="16">
        <f>L11/H11</f>
        <v>0.27421929247522053</v>
      </c>
    </row>
    <row r="13" spans="5:12" x14ac:dyDescent="0.25">
      <c r="E13" t="s">
        <v>21</v>
      </c>
      <c r="F13" s="17">
        <f>F12-F11</f>
        <v>0</v>
      </c>
      <c r="G13" s="17">
        <f>G12-G11</f>
        <v>0</v>
      </c>
      <c r="H13" s="17">
        <f>H12-H11</f>
        <v>0</v>
      </c>
      <c r="I13" s="17"/>
    </row>
    <row r="14" spans="5:12" x14ac:dyDescent="0.25">
      <c r="F14" s="17"/>
      <c r="G14" s="17"/>
      <c r="H14" s="17"/>
      <c r="I14" s="17"/>
    </row>
    <row r="15" spans="5:12" ht="15.75" x14ac:dyDescent="0.25">
      <c r="E15" s="231" t="s">
        <v>211</v>
      </c>
      <c r="F15" s="232"/>
      <c r="G15" s="232"/>
      <c r="H15" s="233"/>
      <c r="I15" s="17"/>
    </row>
    <row r="16" spans="5:12" ht="31.5" x14ac:dyDescent="0.25">
      <c r="E16" s="18" t="s">
        <v>22</v>
      </c>
      <c r="F16" s="3" t="s">
        <v>224</v>
      </c>
      <c r="G16" s="3" t="s">
        <v>219</v>
      </c>
      <c r="H16" s="18" t="s">
        <v>25</v>
      </c>
      <c r="I16" s="17"/>
    </row>
    <row r="17" spans="4:12" ht="15.75" x14ac:dyDescent="0.25">
      <c r="E17" s="19" t="s">
        <v>26</v>
      </c>
      <c r="F17" s="20">
        <v>13840489817</v>
      </c>
      <c r="G17" s="20">
        <f>16482085435+1101547673</f>
        <v>17583633108</v>
      </c>
      <c r="H17" s="20">
        <f>+F17+G17</f>
        <v>31424122925</v>
      </c>
      <c r="I17" s="17"/>
    </row>
    <row r="18" spans="4:12" ht="15.75" x14ac:dyDescent="0.25">
      <c r="E18" s="19" t="s">
        <v>27</v>
      </c>
      <c r="F18" s="20">
        <v>2717000000</v>
      </c>
      <c r="G18" s="20">
        <v>3401545370</v>
      </c>
      <c r="H18" s="20">
        <f>+F18+G18</f>
        <v>6118545370</v>
      </c>
      <c r="I18" s="17"/>
    </row>
    <row r="19" spans="4:12" ht="15.75" x14ac:dyDescent="0.25">
      <c r="E19" s="1" t="s">
        <v>19</v>
      </c>
      <c r="F19" s="21">
        <f>+F17+F18</f>
        <v>16557489817</v>
      </c>
      <c r="G19" s="21">
        <f>+G17+G18</f>
        <v>20985178478</v>
      </c>
      <c r="H19" s="21">
        <f>+H17+H18</f>
        <v>37542668295</v>
      </c>
      <c r="I19" s="17"/>
    </row>
    <row r="20" spans="4:12" ht="15.75" customHeight="1" x14ac:dyDescent="0.25">
      <c r="F20" s="17"/>
      <c r="G20" s="17"/>
      <c r="H20" s="17"/>
      <c r="I20" s="17"/>
    </row>
    <row r="21" spans="4:12" ht="15.75" x14ac:dyDescent="0.25">
      <c r="E21" s="231" t="s">
        <v>211</v>
      </c>
      <c r="F21" s="232"/>
      <c r="G21" s="232"/>
      <c r="H21" s="233"/>
      <c r="I21" s="17"/>
    </row>
    <row r="22" spans="4:12" ht="31.5" x14ac:dyDescent="0.25">
      <c r="E22" s="18" t="s">
        <v>22</v>
      </c>
      <c r="F22" s="3" t="s">
        <v>23</v>
      </c>
      <c r="G22" s="3" t="s">
        <v>24</v>
      </c>
      <c r="H22" s="18" t="s">
        <v>25</v>
      </c>
      <c r="I22" s="17"/>
    </row>
    <row r="23" spans="4:12" ht="15.75" x14ac:dyDescent="0.25">
      <c r="E23" s="19" t="s">
        <v>26</v>
      </c>
      <c r="F23" s="20">
        <f>19702399548+1101547673</f>
        <v>20803947221</v>
      </c>
      <c r="G23" s="20">
        <v>13962423033</v>
      </c>
      <c r="H23" s="20">
        <f>+F23+G23</f>
        <v>34766370254</v>
      </c>
      <c r="I23" s="17"/>
    </row>
    <row r="24" spans="4:12" ht="15.75" x14ac:dyDescent="0.25">
      <c r="E24" s="19" t="s">
        <v>27</v>
      </c>
      <c r="F24" s="20">
        <v>3401545370</v>
      </c>
      <c r="G24" s="20">
        <v>4782526100</v>
      </c>
      <c r="H24" s="20">
        <f>+F24+G24</f>
        <v>8184071470</v>
      </c>
      <c r="I24" s="17"/>
    </row>
    <row r="25" spans="4:12" ht="15.75" x14ac:dyDescent="0.25">
      <c r="E25" s="1" t="s">
        <v>19</v>
      </c>
      <c r="F25" s="21">
        <f>+F23+F24</f>
        <v>24205492591</v>
      </c>
      <c r="G25" s="21">
        <f>+G23+G24</f>
        <v>18744949133</v>
      </c>
      <c r="H25" s="21">
        <f>+H23+H24</f>
        <v>42950441724</v>
      </c>
    </row>
    <row r="26" spans="4:12" ht="15.75" x14ac:dyDescent="0.25">
      <c r="E26" s="22" t="s">
        <v>28</v>
      </c>
      <c r="F26" s="23">
        <f>+F25/$H$25</f>
        <v>0.56356795458693432</v>
      </c>
      <c r="G26" s="23">
        <f>+G25/$H$25</f>
        <v>0.43643204541306568</v>
      </c>
      <c r="H26" s="23">
        <f>+F26+G26</f>
        <v>1</v>
      </c>
    </row>
    <row r="27" spans="4:12" x14ac:dyDescent="0.25">
      <c r="F27" s="27"/>
    </row>
    <row r="28" spans="4:12" ht="31.5" x14ac:dyDescent="0.25">
      <c r="F28" s="2" t="s">
        <v>208</v>
      </c>
      <c r="G28" s="2" t="s">
        <v>209</v>
      </c>
      <c r="H28" s="3" t="s">
        <v>195</v>
      </c>
    </row>
    <row r="29" spans="4:12" ht="15.75" x14ac:dyDescent="0.25">
      <c r="F29" s="20">
        <v>41848894051</v>
      </c>
      <c r="G29" s="20">
        <v>38628579938</v>
      </c>
      <c r="H29" s="207">
        <f>+F29/G29</f>
        <v>1.083366101424611</v>
      </c>
    </row>
    <row r="31" spans="4:12" ht="31.5" x14ac:dyDescent="0.25">
      <c r="D31" s="24" t="s">
        <v>29</v>
      </c>
      <c r="E31" s="18" t="s">
        <v>212</v>
      </c>
      <c r="F31" s="2" t="s">
        <v>30</v>
      </c>
      <c r="G31" s="25" t="s">
        <v>9</v>
      </c>
      <c r="H31" s="25" t="s">
        <v>10</v>
      </c>
      <c r="I31" s="25" t="s">
        <v>11</v>
      </c>
      <c r="J31" s="25" t="s">
        <v>12</v>
      </c>
      <c r="L31" t="s">
        <v>31</v>
      </c>
    </row>
    <row r="32" spans="4:12" ht="15.75" x14ac:dyDescent="0.25">
      <c r="E32" s="205" t="s">
        <v>13</v>
      </c>
      <c r="F32" s="20">
        <v>17618955544</v>
      </c>
      <c r="G32" s="20">
        <v>16601644662</v>
      </c>
      <c r="H32" s="26">
        <v>16601644662</v>
      </c>
      <c r="I32" s="26">
        <v>16601644662</v>
      </c>
      <c r="J32" s="26">
        <v>16601184263</v>
      </c>
      <c r="L32" s="27">
        <f>F32-H5</f>
        <v>7873480799</v>
      </c>
    </row>
    <row r="33" spans="5:12" ht="15.75" x14ac:dyDescent="0.25">
      <c r="E33" s="205" t="s">
        <v>32</v>
      </c>
      <c r="F33" s="20">
        <v>14042921266</v>
      </c>
      <c r="G33" s="20">
        <v>13075111339.57</v>
      </c>
      <c r="H33" s="26">
        <v>13075111339.57</v>
      </c>
      <c r="I33" s="26">
        <v>5626351298.5699997</v>
      </c>
      <c r="J33" s="26">
        <v>5621723130.5699997</v>
      </c>
      <c r="L33" s="27">
        <f>F33-H6</f>
        <v>9907474669</v>
      </c>
    </row>
    <row r="34" spans="5:12" ht="15.75" x14ac:dyDescent="0.25">
      <c r="E34" s="205" t="s">
        <v>33</v>
      </c>
      <c r="F34" s="20">
        <v>1464008781</v>
      </c>
      <c r="G34" s="26">
        <v>796871154.13999999</v>
      </c>
      <c r="H34" s="26">
        <v>780039877.13999999</v>
      </c>
      <c r="I34" s="26">
        <v>588008377.13999999</v>
      </c>
      <c r="J34" s="26">
        <v>588008377.13999999</v>
      </c>
      <c r="L34" s="27" t="e">
        <f>F34-#REF!</f>
        <v>#REF!</v>
      </c>
    </row>
    <row r="35" spans="5:12" ht="15.75" x14ac:dyDescent="0.25">
      <c r="E35" s="205" t="s">
        <v>34</v>
      </c>
      <c r="F35" s="20">
        <v>242882195</v>
      </c>
      <c r="G35" s="26">
        <v>199254296</v>
      </c>
      <c r="H35" s="26">
        <v>199254296</v>
      </c>
      <c r="I35" s="26">
        <v>199254296</v>
      </c>
      <c r="J35" s="26">
        <v>199254296</v>
      </c>
      <c r="L35" s="27">
        <f>F35-H9</f>
        <v>36082195</v>
      </c>
    </row>
    <row r="36" spans="5:12" ht="15.75" x14ac:dyDescent="0.25">
      <c r="E36" s="205" t="s">
        <v>35</v>
      </c>
      <c r="F36" s="20">
        <v>110019970</v>
      </c>
      <c r="G36" s="26">
        <v>73131803</v>
      </c>
      <c r="H36" s="26">
        <v>73131803</v>
      </c>
      <c r="I36" s="26">
        <v>53525555</v>
      </c>
      <c r="J36" s="26">
        <v>53525555</v>
      </c>
      <c r="L36" s="27"/>
    </row>
    <row r="37" spans="5:12" ht="15.75" x14ac:dyDescent="0.25">
      <c r="E37" s="205" t="s">
        <v>18</v>
      </c>
      <c r="F37" s="20">
        <v>8184071470</v>
      </c>
      <c r="G37" s="26">
        <v>8164361732.3199997</v>
      </c>
      <c r="H37" s="26">
        <v>8143361924.3199997</v>
      </c>
      <c r="I37" s="26">
        <v>4330746076.75</v>
      </c>
      <c r="J37" s="26">
        <v>4330746076.75</v>
      </c>
      <c r="L37" s="27">
        <f>F37-H10</f>
        <v>5431940533</v>
      </c>
    </row>
    <row r="38" spans="5:12" ht="15.75" x14ac:dyDescent="0.25">
      <c r="E38" s="12" t="s">
        <v>19</v>
      </c>
      <c r="F38" s="13">
        <f>SUM(F32:F37)</f>
        <v>41662859226</v>
      </c>
      <c r="G38" s="13">
        <f>SUM(G32:G37)</f>
        <v>38910374987.029999</v>
      </c>
      <c r="H38" s="13">
        <f>SUM(H32:H37)</f>
        <v>38872543902.029999</v>
      </c>
      <c r="I38" s="13">
        <f>SUM(I32:I37)</f>
        <v>27399530265.459999</v>
      </c>
      <c r="J38" s="13">
        <f>SUM(J32:J37)</f>
        <v>27394441698.459999</v>
      </c>
    </row>
    <row r="39" spans="5:12" ht="15.75" x14ac:dyDescent="0.25">
      <c r="E39" s="28" t="s">
        <v>20</v>
      </c>
      <c r="F39" s="29"/>
      <c r="G39" s="182">
        <f>G38/F38</f>
        <v>0.93393434127890351</v>
      </c>
      <c r="H39" s="182">
        <f>H38/F38</f>
        <v>0.93302631226450528</v>
      </c>
      <c r="I39" s="182">
        <f>I38/F38</f>
        <v>0.65764882138384606</v>
      </c>
      <c r="J39" s="182">
        <f>J38/F38</f>
        <v>0.65752668461516206</v>
      </c>
    </row>
    <row r="40" spans="5:12" ht="15.75" x14ac:dyDescent="0.25">
      <c r="E40" s="28"/>
      <c r="F40" s="29"/>
      <c r="G40" s="30"/>
      <c r="H40" s="30"/>
      <c r="I40" s="30"/>
      <c r="J40" s="30"/>
    </row>
    <row r="41" spans="5:12" ht="15.75" x14ac:dyDescent="0.25">
      <c r="E41" s="28"/>
      <c r="F41" s="29"/>
      <c r="G41" s="30"/>
      <c r="H41" s="30"/>
      <c r="I41" s="30"/>
      <c r="J41" s="30"/>
    </row>
    <row r="42" spans="5:12" ht="31.5" x14ac:dyDescent="0.25">
      <c r="E42" s="18" t="s">
        <v>213</v>
      </c>
      <c r="F42" s="2" t="s">
        <v>30</v>
      </c>
      <c r="G42" s="31" t="s">
        <v>9</v>
      </c>
      <c r="H42" s="32" t="s">
        <v>36</v>
      </c>
      <c r="I42" s="32" t="s">
        <v>37</v>
      </c>
      <c r="J42" s="33"/>
    </row>
    <row r="43" spans="5:12" ht="15.75" x14ac:dyDescent="0.25">
      <c r="E43" s="8" t="s">
        <v>13</v>
      </c>
      <c r="F43" s="20">
        <v>13456392790</v>
      </c>
      <c r="G43" s="20">
        <v>519513653</v>
      </c>
      <c r="H43" s="26"/>
      <c r="I43" s="26">
        <f>F43-G43</f>
        <v>12936879137</v>
      </c>
      <c r="J43" s="34"/>
    </row>
    <row r="44" spans="5:12" ht="15.75" x14ac:dyDescent="0.25">
      <c r="E44" s="8" t="s">
        <v>32</v>
      </c>
      <c r="F44" s="20">
        <v>5121810182</v>
      </c>
      <c r="G44" s="20">
        <v>1534247306</v>
      </c>
      <c r="H44" s="26"/>
      <c r="I44" s="26">
        <f>F44-G44</f>
        <v>3587562876</v>
      </c>
      <c r="J44" s="34"/>
    </row>
    <row r="45" spans="5:12" ht="15.75" x14ac:dyDescent="0.25">
      <c r="E45" s="8" t="s">
        <v>33</v>
      </c>
      <c r="F45" s="20">
        <v>6033649075</v>
      </c>
      <c r="G45" s="20">
        <v>2500000</v>
      </c>
      <c r="H45" s="26">
        <v>5435320754</v>
      </c>
      <c r="I45" s="26">
        <f>F45-G45-H45</f>
        <v>595828321</v>
      </c>
      <c r="J45" s="34"/>
    </row>
    <row r="46" spans="5:12" ht="15.75" x14ac:dyDescent="0.25">
      <c r="E46" s="8" t="s">
        <v>34</v>
      </c>
      <c r="F46" s="20">
        <v>242882195</v>
      </c>
      <c r="G46" s="20">
        <v>9214056</v>
      </c>
      <c r="H46" s="26"/>
      <c r="I46" s="26">
        <f>F46-G46</f>
        <v>233668139</v>
      </c>
      <c r="J46" s="35"/>
    </row>
    <row r="47" spans="5:12" ht="15.75" x14ac:dyDescent="0.25">
      <c r="E47" s="8" t="s">
        <v>35</v>
      </c>
      <c r="F47" s="20">
        <v>103450360</v>
      </c>
      <c r="G47" s="20">
        <v>0</v>
      </c>
      <c r="H47" s="26"/>
      <c r="I47" s="26">
        <f>F47-G47</f>
        <v>103450360</v>
      </c>
      <c r="J47" s="35"/>
    </row>
    <row r="48" spans="5:12" ht="15.75" x14ac:dyDescent="0.25">
      <c r="E48" s="8" t="s">
        <v>18</v>
      </c>
      <c r="F48" s="20">
        <v>8492290121</v>
      </c>
      <c r="G48" s="20">
        <v>0</v>
      </c>
      <c r="H48" s="26"/>
      <c r="I48" s="26">
        <f>F48-G48</f>
        <v>8492290121</v>
      </c>
      <c r="J48" s="34"/>
    </row>
    <row r="49" spans="5:16" ht="15.75" x14ac:dyDescent="0.25">
      <c r="E49" s="12" t="s">
        <v>19</v>
      </c>
      <c r="F49" s="13">
        <f>SUM(F43:F48)</f>
        <v>33450474723</v>
      </c>
      <c r="G49" s="13">
        <f>SUM(G43:G48)</f>
        <v>2065475015</v>
      </c>
      <c r="H49" s="13">
        <f>SUM(H43:H48)</f>
        <v>5435320754</v>
      </c>
      <c r="I49" s="13">
        <f>SUM(I43:I48)</f>
        <v>25949678954</v>
      </c>
      <c r="J49" s="36"/>
    </row>
    <row r="50" spans="5:16" ht="15.75" x14ac:dyDescent="0.25">
      <c r="E50" s="28" t="s">
        <v>20</v>
      </c>
      <c r="F50" s="29"/>
      <c r="G50" s="30">
        <f>G49/F49</f>
        <v>6.1747255669881811E-2</v>
      </c>
      <c r="I50" s="30">
        <f>I49/F49</f>
        <v>0.77576414591681186</v>
      </c>
    </row>
    <row r="51" spans="5:16" ht="15.75" x14ac:dyDescent="0.25">
      <c r="E51" s="28"/>
      <c r="F51" s="29"/>
      <c r="G51" s="30"/>
      <c r="I51" s="27">
        <f>I49+H49+G49</f>
        <v>33450474723</v>
      </c>
    </row>
    <row r="52" spans="5:16" ht="15.75" x14ac:dyDescent="0.25">
      <c r="E52" s="28"/>
      <c r="F52" s="29"/>
      <c r="G52" s="37">
        <f>954917242-1062890992</f>
        <v>-107973750</v>
      </c>
      <c r="I52" s="38">
        <f>I50*F49</f>
        <v>25949678954</v>
      </c>
    </row>
    <row r="53" spans="5:16" ht="15.75" x14ac:dyDescent="0.25">
      <c r="E53" s="28" t="s">
        <v>38</v>
      </c>
      <c r="F53" s="39">
        <f>F49-H49</f>
        <v>28015153969</v>
      </c>
      <c r="G53" s="30">
        <f>F53/F49</f>
        <v>0.83751140158669368</v>
      </c>
    </row>
    <row r="54" spans="5:16" ht="15.75" x14ac:dyDescent="0.25">
      <c r="E54" s="28"/>
      <c r="F54" s="39"/>
      <c r="G54" s="30"/>
    </row>
    <row r="55" spans="5:16" ht="15.75" x14ac:dyDescent="0.25">
      <c r="E55" s="4" t="s">
        <v>213</v>
      </c>
      <c r="F55" s="4" t="s">
        <v>39</v>
      </c>
      <c r="G55" s="31" t="s">
        <v>9</v>
      </c>
      <c r="H55" s="40" t="s">
        <v>10</v>
      </c>
      <c r="I55" s="32" t="s">
        <v>11</v>
      </c>
      <c r="J55" s="32" t="s">
        <v>12</v>
      </c>
    </row>
    <row r="56" spans="5:16" ht="15.75" x14ac:dyDescent="0.25">
      <c r="E56" s="8" t="s">
        <v>40</v>
      </c>
      <c r="F56" s="9">
        <v>19516364723</v>
      </c>
      <c r="G56" s="9">
        <v>18134749126.830002</v>
      </c>
      <c r="H56" s="9">
        <v>18134749126.830002</v>
      </c>
      <c r="I56" s="41">
        <v>12811786578.83</v>
      </c>
      <c r="J56" s="41">
        <v>12811461512.83</v>
      </c>
    </row>
    <row r="57" spans="5:16" ht="15.75" x14ac:dyDescent="0.25">
      <c r="E57" s="8" t="s">
        <v>41</v>
      </c>
      <c r="F57" s="9">
        <v>13962423033</v>
      </c>
      <c r="G57" s="9">
        <v>12611264127.879999</v>
      </c>
      <c r="H57" s="9">
        <v>12594432850.879999</v>
      </c>
      <c r="I57" s="41">
        <v>10256997609.879999</v>
      </c>
      <c r="J57" s="41">
        <v>10252234108.879999</v>
      </c>
    </row>
    <row r="58" spans="5:16" ht="15.75" x14ac:dyDescent="0.25">
      <c r="E58" s="8" t="s">
        <v>42</v>
      </c>
      <c r="F58" s="9">
        <v>3401545370</v>
      </c>
      <c r="G58" s="9">
        <v>3399764972.9099998</v>
      </c>
      <c r="H58" s="9">
        <v>3399747956.9099998</v>
      </c>
      <c r="I58" s="41">
        <v>872497301.75</v>
      </c>
      <c r="J58" s="41">
        <v>872497301.75</v>
      </c>
    </row>
    <row r="59" spans="5:16" ht="15.75" x14ac:dyDescent="0.25">
      <c r="E59" s="8" t="s">
        <v>43</v>
      </c>
      <c r="F59" s="9">
        <v>4782526100</v>
      </c>
      <c r="G59" s="9">
        <v>4764596759.4099998</v>
      </c>
      <c r="H59" s="9">
        <v>4743613967.4099998</v>
      </c>
      <c r="I59" s="41">
        <v>3458248775</v>
      </c>
      <c r="J59" s="41">
        <v>3458248775</v>
      </c>
    </row>
    <row r="60" spans="5:16" ht="15.75" x14ac:dyDescent="0.25">
      <c r="E60" s="12" t="s">
        <v>19</v>
      </c>
      <c r="F60" s="13">
        <f>SUM(F56:F59)</f>
        <v>41662859226</v>
      </c>
      <c r="G60" s="42">
        <f>SUM(G56:G59)</f>
        <v>38910374987.029999</v>
      </c>
      <c r="H60" s="42">
        <f>SUM(H56:H59)</f>
        <v>38872543902.029999</v>
      </c>
      <c r="I60" s="42">
        <f>SUM(I56:I59)</f>
        <v>27399530265.459999</v>
      </c>
      <c r="J60" s="42">
        <f>SUM(J56:J59)</f>
        <v>27394441698.459999</v>
      </c>
    </row>
    <row r="61" spans="5:16" ht="15.75" x14ac:dyDescent="0.25">
      <c r="E61" s="28" t="s">
        <v>20</v>
      </c>
      <c r="F61" s="29"/>
      <c r="G61" s="182">
        <f>G60/F60</f>
        <v>0.93393434127890351</v>
      </c>
      <c r="H61" s="182">
        <f>H60/F60</f>
        <v>0.93302631226450528</v>
      </c>
      <c r="I61" s="182">
        <f>I60/F60</f>
        <v>0.65764882138384606</v>
      </c>
      <c r="J61" s="182">
        <f>J60/F60</f>
        <v>0.65752668461516206</v>
      </c>
    </row>
    <row r="62" spans="5:16" ht="31.5" x14ac:dyDescent="0.25">
      <c r="E62" s="28"/>
      <c r="F62" s="29"/>
      <c r="G62" s="30"/>
      <c r="L62" s="2" t="s">
        <v>44</v>
      </c>
      <c r="M62" s="4" t="s">
        <v>39</v>
      </c>
    </row>
    <row r="63" spans="5:16" ht="15.75" x14ac:dyDescent="0.25">
      <c r="E63" s="4" t="s">
        <v>213</v>
      </c>
      <c r="F63" s="4" t="s">
        <v>39</v>
      </c>
      <c r="G63" s="31" t="s">
        <v>9</v>
      </c>
      <c r="H63" s="40" t="s">
        <v>10</v>
      </c>
      <c r="I63" s="40" t="s">
        <v>11</v>
      </c>
      <c r="J63" s="31" t="s">
        <v>12</v>
      </c>
      <c r="L63" s="43" t="s">
        <v>45</v>
      </c>
      <c r="M63" s="43"/>
      <c r="N63" s="43"/>
      <c r="O63" s="43"/>
      <c r="P63" s="44">
        <f>P37+P38</f>
        <v>0</v>
      </c>
    </row>
    <row r="64" spans="5:16" ht="15.75" x14ac:dyDescent="0.25">
      <c r="E64" s="8" t="s">
        <v>46</v>
      </c>
      <c r="F64" s="9">
        <f>+F56+F57</f>
        <v>33478787756</v>
      </c>
      <c r="G64" s="9">
        <f>+G56+G57</f>
        <v>30746013254.709999</v>
      </c>
      <c r="H64" s="9">
        <f>+H56+H57</f>
        <v>30729181977.709999</v>
      </c>
      <c r="I64" s="9">
        <f>+I56+I57</f>
        <v>23068784188.709999</v>
      </c>
      <c r="J64" s="9">
        <f>+J56+J57</f>
        <v>23063695621.709999</v>
      </c>
      <c r="K64" s="24" t="s">
        <v>47</v>
      </c>
      <c r="L64" s="43" t="s">
        <v>48</v>
      </c>
      <c r="M64" s="43"/>
      <c r="N64" s="43"/>
      <c r="O64" s="43"/>
      <c r="P64" s="44">
        <f>P44+P45</f>
        <v>0</v>
      </c>
    </row>
    <row r="65" spans="5:16" ht="15.75" x14ac:dyDescent="0.25">
      <c r="E65" s="8" t="s">
        <v>18</v>
      </c>
      <c r="F65" s="9">
        <f>+F58+F59</f>
        <v>8184071470</v>
      </c>
      <c r="G65" s="9">
        <f>+G58+G59</f>
        <v>8164361732.3199997</v>
      </c>
      <c r="H65" s="9">
        <f>+H58+H59</f>
        <v>8143361924.3199997</v>
      </c>
      <c r="I65" s="9">
        <f>+I58+I59</f>
        <v>4330746076.75</v>
      </c>
      <c r="J65" s="9">
        <f>+J58+J59</f>
        <v>4330746076.75</v>
      </c>
      <c r="L65" s="43" t="s">
        <v>49</v>
      </c>
      <c r="M65" s="43"/>
      <c r="N65" s="43"/>
      <c r="O65" s="43"/>
      <c r="P65" s="44">
        <f>P32+P33+P34+P35+P39+P40+P41+P42+P43</f>
        <v>0</v>
      </c>
    </row>
    <row r="66" spans="5:16" ht="15.75" x14ac:dyDescent="0.25">
      <c r="E66" s="12" t="s">
        <v>19</v>
      </c>
      <c r="F66" s="13">
        <f>SUM(F64:F65)</f>
        <v>41662859226</v>
      </c>
      <c r="G66" s="42">
        <f>SUM(G64:G65)</f>
        <v>38910374987.029999</v>
      </c>
      <c r="H66" s="42">
        <f>SUM(H64:H65)</f>
        <v>38872543902.029999</v>
      </c>
      <c r="I66" s="42">
        <f>SUM(I64:I65)</f>
        <v>27399530265.459999</v>
      </c>
      <c r="J66" s="42">
        <f>SUM(J64:J65)</f>
        <v>27394441698.459999</v>
      </c>
    </row>
    <row r="67" spans="5:16" ht="15.75" x14ac:dyDescent="0.25">
      <c r="E67" s="28" t="s">
        <v>20</v>
      </c>
      <c r="F67" s="29"/>
      <c r="G67" s="182">
        <f>G66/F66</f>
        <v>0.93393434127890351</v>
      </c>
      <c r="H67" s="182">
        <f>H66/F66</f>
        <v>0.93302631226450528</v>
      </c>
      <c r="I67" s="182">
        <f>I66/F66</f>
        <v>0.65764882138384606</v>
      </c>
      <c r="J67" s="182">
        <f>J66/F66</f>
        <v>0.65752668461516206</v>
      </c>
    </row>
    <row r="68" spans="5:16" ht="15.75" x14ac:dyDescent="0.25">
      <c r="E68" s="28"/>
      <c r="F68" s="29"/>
      <c r="G68" s="30"/>
    </row>
    <row r="69" spans="5:16" ht="15.75" x14ac:dyDescent="0.25">
      <c r="E69" s="4" t="s">
        <v>213</v>
      </c>
      <c r="F69" s="4" t="s">
        <v>39</v>
      </c>
      <c r="G69" s="31" t="s">
        <v>9</v>
      </c>
      <c r="H69" s="40" t="s">
        <v>10</v>
      </c>
      <c r="I69" s="32" t="s">
        <v>11</v>
      </c>
      <c r="J69" s="32" t="s">
        <v>12</v>
      </c>
    </row>
    <row r="70" spans="5:16" ht="15.75" x14ac:dyDescent="0.25">
      <c r="E70" s="8" t="s">
        <v>40</v>
      </c>
      <c r="F70" s="9">
        <f>+F56</f>
        <v>19516364723</v>
      </c>
      <c r="G70" s="9">
        <f>+G56</f>
        <v>18134749126.830002</v>
      </c>
      <c r="H70" s="9">
        <f>+H56</f>
        <v>18134749126.830002</v>
      </c>
      <c r="I70" s="9">
        <f>+I56</f>
        <v>12811786578.83</v>
      </c>
      <c r="J70" s="9">
        <f>+J56</f>
        <v>12811461512.83</v>
      </c>
      <c r="K70" s="24" t="s">
        <v>47</v>
      </c>
    </row>
    <row r="71" spans="5:16" ht="15.75" x14ac:dyDescent="0.25">
      <c r="E71" s="8" t="s">
        <v>42</v>
      </c>
      <c r="F71" s="9">
        <f>+F58</f>
        <v>3401545370</v>
      </c>
      <c r="G71" s="9">
        <f>+G58</f>
        <v>3399764972.9099998</v>
      </c>
      <c r="H71" s="9">
        <f>+H58</f>
        <v>3399747956.9099998</v>
      </c>
      <c r="I71" s="9">
        <f>+I58</f>
        <v>872497301.75</v>
      </c>
      <c r="J71" s="9">
        <f>+J58</f>
        <v>872497301.75</v>
      </c>
    </row>
    <row r="72" spans="5:16" ht="15.75" x14ac:dyDescent="0.25">
      <c r="E72" s="12" t="s">
        <v>19</v>
      </c>
      <c r="F72" s="13">
        <f>SUM(F70:F71)</f>
        <v>22917910093</v>
      </c>
      <c r="G72" s="42">
        <f>SUM(G70:G71)</f>
        <v>21534514099.740002</v>
      </c>
      <c r="H72" s="42">
        <f>SUM(H70:H71)</f>
        <v>21534497083.740002</v>
      </c>
      <c r="I72" s="42">
        <f>SUM(I70:I71)</f>
        <v>13684283880.58</v>
      </c>
      <c r="J72" s="42">
        <f>SUM(J70:J71)</f>
        <v>13683958814.58</v>
      </c>
    </row>
    <row r="73" spans="5:16" ht="15.75" x14ac:dyDescent="0.25">
      <c r="E73" s="28" t="s">
        <v>20</v>
      </c>
      <c r="F73" s="29"/>
      <c r="G73" s="182">
        <f>G72/F72</f>
        <v>0.93963690460228566</v>
      </c>
      <c r="H73" s="182">
        <f>H72/F72</f>
        <v>0.93963616212620782</v>
      </c>
      <c r="I73" s="182">
        <f>I72/F72</f>
        <v>0.59709998970454548</v>
      </c>
      <c r="J73" s="182">
        <f>J72/F72</f>
        <v>0.59708580577596382</v>
      </c>
    </row>
    <row r="74" spans="5:16" ht="15.75" x14ac:dyDescent="0.25">
      <c r="E74" s="28"/>
      <c r="F74" s="29"/>
      <c r="G74" s="30"/>
      <c r="H74" s="30"/>
      <c r="I74" s="30"/>
      <c r="J74" s="30"/>
    </row>
    <row r="75" spans="5:16" ht="15.75" x14ac:dyDescent="0.25">
      <c r="E75" s="4" t="s">
        <v>213</v>
      </c>
      <c r="F75" s="4" t="s">
        <v>39</v>
      </c>
      <c r="G75" s="31" t="s">
        <v>9</v>
      </c>
      <c r="H75" s="40" t="s">
        <v>10</v>
      </c>
      <c r="I75" s="32" t="s">
        <v>11</v>
      </c>
      <c r="J75" s="32" t="s">
        <v>12</v>
      </c>
    </row>
    <row r="76" spans="5:16" ht="15.75" x14ac:dyDescent="0.25">
      <c r="E76" s="8" t="s">
        <v>41</v>
      </c>
      <c r="F76" s="9">
        <f>+F57</f>
        <v>13962423033</v>
      </c>
      <c r="G76" s="9">
        <f>+G57</f>
        <v>12611264127.879999</v>
      </c>
      <c r="H76" s="9">
        <f>+H57</f>
        <v>12594432850.879999</v>
      </c>
      <c r="I76" s="9">
        <f>+I57</f>
        <v>10256997609.879999</v>
      </c>
      <c r="J76" s="9">
        <f>+J57</f>
        <v>10252234108.879999</v>
      </c>
      <c r="K76" s="24" t="s">
        <v>47</v>
      </c>
    </row>
    <row r="77" spans="5:16" ht="15.75" x14ac:dyDescent="0.25">
      <c r="E77" s="8" t="s">
        <v>43</v>
      </c>
      <c r="F77" s="9">
        <f>+F59</f>
        <v>4782526100</v>
      </c>
      <c r="G77" s="9">
        <f>+G59</f>
        <v>4764596759.4099998</v>
      </c>
      <c r="H77" s="9">
        <f>+H59</f>
        <v>4743613967.4099998</v>
      </c>
      <c r="I77" s="9">
        <f>+I59</f>
        <v>3458248775</v>
      </c>
      <c r="J77" s="9">
        <f>+J59</f>
        <v>3458248775</v>
      </c>
    </row>
    <row r="78" spans="5:16" ht="15.75" x14ac:dyDescent="0.25">
      <c r="E78" s="12" t="s">
        <v>19</v>
      </c>
      <c r="F78" s="13">
        <f>SUM(F76:F77)</f>
        <v>18744949133</v>
      </c>
      <c r="G78" s="42">
        <f>SUM(G76:G77)</f>
        <v>17375860887.290001</v>
      </c>
      <c r="H78" s="42">
        <f>SUM(H76:H77)</f>
        <v>17338046818.290001</v>
      </c>
      <c r="I78" s="42">
        <f>SUM(I76:I77)</f>
        <v>13715246384.879999</v>
      </c>
      <c r="J78" s="42">
        <f>SUM(J76:J77)</f>
        <v>13710482883.879999</v>
      </c>
    </row>
    <row r="79" spans="5:16" ht="15.75" x14ac:dyDescent="0.25">
      <c r="E79" s="28" t="s">
        <v>20</v>
      </c>
      <c r="F79" s="29"/>
      <c r="G79" s="182">
        <f>G78/F78</f>
        <v>0.92696228536039316</v>
      </c>
      <c r="H79" s="182">
        <f>H78/F78</f>
        <v>0.92494499159599297</v>
      </c>
      <c r="I79" s="182">
        <f>I78/F78</f>
        <v>0.73167690600635782</v>
      </c>
      <c r="J79" s="182">
        <f>J78/F78</f>
        <v>0.73142278416445783</v>
      </c>
    </row>
    <row r="80" spans="5:16" ht="15.75" x14ac:dyDescent="0.25">
      <c r="E80" s="28"/>
      <c r="F80" s="39">
        <f>F78+F72</f>
        <v>41662859226</v>
      </c>
      <c r="G80" s="39">
        <f>G78+G72</f>
        <v>38910374987.029999</v>
      </c>
      <c r="H80" s="39">
        <f>H78+H72</f>
        <v>38872543902.029999</v>
      </c>
      <c r="I80" s="39">
        <f>I78+I72</f>
        <v>27399530265.459999</v>
      </c>
      <c r="J80" s="39">
        <f>J78+J72</f>
        <v>27394441698.459999</v>
      </c>
    </row>
    <row r="81" spans="5:13" ht="47.25" x14ac:dyDescent="0.25">
      <c r="E81" s="28"/>
      <c r="F81" s="45" t="s">
        <v>50</v>
      </c>
      <c r="G81" s="46">
        <f>G76-F76</f>
        <v>-1351158905.1200008</v>
      </c>
      <c r="H81" s="47">
        <f>G81+1200000000</f>
        <v>-151158905.12000084</v>
      </c>
      <c r="I81" t="s">
        <v>51</v>
      </c>
    </row>
    <row r="82" spans="5:13" ht="15.75" x14ac:dyDescent="0.25">
      <c r="E82" s="4" t="s">
        <v>52</v>
      </c>
      <c r="F82" s="4" t="s">
        <v>39</v>
      </c>
      <c r="G82" s="31" t="s">
        <v>9</v>
      </c>
      <c r="H82" s="48" t="s">
        <v>10</v>
      </c>
      <c r="I82" s="49" t="s">
        <v>11</v>
      </c>
      <c r="J82" s="32" t="s">
        <v>12</v>
      </c>
    </row>
    <row r="83" spans="5:13" ht="15.75" x14ac:dyDescent="0.25">
      <c r="E83" s="8" t="s">
        <v>45</v>
      </c>
      <c r="F83" s="9">
        <v>1387000000</v>
      </c>
      <c r="G83" s="9">
        <v>1313571990</v>
      </c>
      <c r="H83" s="9">
        <v>1313571990</v>
      </c>
      <c r="I83" s="9">
        <v>1066853190</v>
      </c>
      <c r="J83" s="9">
        <v>1066853190</v>
      </c>
    </row>
    <row r="84" spans="5:13" ht="15.75" x14ac:dyDescent="0.25">
      <c r="E84" s="8" t="s">
        <v>53</v>
      </c>
      <c r="F84" s="9">
        <v>730000000</v>
      </c>
      <c r="G84" s="9">
        <v>555094783</v>
      </c>
      <c r="H84" s="9">
        <v>555094783</v>
      </c>
      <c r="I84" s="9">
        <v>549094783</v>
      </c>
      <c r="J84" s="9">
        <v>549094783</v>
      </c>
    </row>
    <row r="85" spans="5:13" ht="15.75" x14ac:dyDescent="0.25">
      <c r="E85" s="8" t="s">
        <v>49</v>
      </c>
      <c r="F85" s="9">
        <v>6035000000</v>
      </c>
      <c r="G85" s="9">
        <v>5197176734</v>
      </c>
      <c r="H85" s="9">
        <v>5197176734</v>
      </c>
      <c r="I85" s="9">
        <v>2270243945</v>
      </c>
      <c r="J85" s="9">
        <v>2270243945</v>
      </c>
    </row>
    <row r="86" spans="5:13" ht="15.75" x14ac:dyDescent="0.25">
      <c r="E86" s="8" t="s">
        <v>54</v>
      </c>
      <c r="F86" s="9">
        <v>2700594774</v>
      </c>
      <c r="G86" s="9">
        <v>2567037617</v>
      </c>
      <c r="H86" s="9">
        <v>2567037617</v>
      </c>
      <c r="I86" s="9">
        <v>2016001754</v>
      </c>
      <c r="J86" s="9">
        <v>2016001754</v>
      </c>
    </row>
    <row r="87" spans="5:13" ht="15.75" x14ac:dyDescent="0.25">
      <c r="E87" s="12" t="s">
        <v>19</v>
      </c>
      <c r="F87" s="13">
        <f>SUM(F83:F86)</f>
        <v>10852594774</v>
      </c>
      <c r="G87" s="42">
        <f>SUM(G83:G86)</f>
        <v>9632881124</v>
      </c>
      <c r="H87" s="42">
        <f>SUM(H83:H86)</f>
        <v>9632881124</v>
      </c>
      <c r="I87" s="42">
        <f>SUM(I83:I86)</f>
        <v>5902193672</v>
      </c>
      <c r="J87" s="42">
        <f>SUM(J83:J86)</f>
        <v>5902193672</v>
      </c>
    </row>
    <row r="88" spans="5:13" ht="15.75" x14ac:dyDescent="0.25">
      <c r="E88" s="50"/>
      <c r="F88" s="51"/>
      <c r="G88" s="182">
        <f>G87/F87</f>
        <v>0.88761087321512111</v>
      </c>
      <c r="H88" s="182">
        <f>H87/F87</f>
        <v>0.88761087321512111</v>
      </c>
      <c r="I88" s="182">
        <f>I87/F87</f>
        <v>0.54385092182195216</v>
      </c>
      <c r="J88" s="182">
        <f>J87/F87</f>
        <v>0.54385092182195216</v>
      </c>
    </row>
    <row r="89" spans="5:13" ht="15.75" x14ac:dyDescent="0.25">
      <c r="E89" s="50"/>
      <c r="F89" s="51"/>
      <c r="G89" s="52"/>
      <c r="H89" s="52"/>
      <c r="I89" s="52"/>
      <c r="J89" s="52"/>
    </row>
    <row r="90" spans="5:13" ht="31.5" x14ac:dyDescent="0.25">
      <c r="E90" s="18" t="s">
        <v>55</v>
      </c>
      <c r="F90" s="3" t="s">
        <v>56</v>
      </c>
      <c r="G90" s="3" t="s">
        <v>234</v>
      </c>
      <c r="H90" s="25" t="s">
        <v>9</v>
      </c>
      <c r="I90" s="49" t="s">
        <v>37</v>
      </c>
      <c r="J90" s="48" t="s">
        <v>10</v>
      </c>
      <c r="K90" s="49" t="s">
        <v>11</v>
      </c>
      <c r="L90" s="49" t="s">
        <v>12</v>
      </c>
      <c r="M90" s="3" t="s">
        <v>57</v>
      </c>
    </row>
    <row r="91" spans="5:13" ht="45" customHeight="1" x14ac:dyDescent="0.25">
      <c r="E91" s="53" t="s">
        <v>233</v>
      </c>
      <c r="F91" s="225">
        <v>3401545370</v>
      </c>
      <c r="G91" s="213" t="s">
        <v>235</v>
      </c>
      <c r="H91" s="225">
        <v>3399764972.9099998</v>
      </c>
      <c r="I91" s="54">
        <f>+F91-H91</f>
        <v>1780397.0900001526</v>
      </c>
      <c r="J91" s="55">
        <v>3399747956.9099998</v>
      </c>
      <c r="K91" s="55">
        <v>872497301.75</v>
      </c>
      <c r="L91" s="55">
        <v>872497301.75</v>
      </c>
      <c r="M91" s="56"/>
    </row>
    <row r="92" spans="5:13" ht="45" customHeight="1" x14ac:dyDescent="0.25">
      <c r="E92" s="57" t="s">
        <v>233</v>
      </c>
      <c r="F92" s="225">
        <v>4315454630</v>
      </c>
      <c r="G92" s="213" t="s">
        <v>236</v>
      </c>
      <c r="H92" s="225">
        <v>4299305187.4099998</v>
      </c>
      <c r="I92" s="225">
        <f t="shared" ref="I92:I93" si="2">+F92-H92</f>
        <v>16149442.590000153</v>
      </c>
      <c r="J92" s="55">
        <v>4278322395.4099998</v>
      </c>
      <c r="K92" s="55">
        <v>2992957203</v>
      </c>
      <c r="L92" s="55">
        <v>2992957203</v>
      </c>
      <c r="M92" s="56"/>
    </row>
    <row r="93" spans="5:13" ht="30" x14ac:dyDescent="0.25">
      <c r="E93" s="57" t="s">
        <v>233</v>
      </c>
      <c r="F93" s="225">
        <v>467071470</v>
      </c>
      <c r="G93" s="214" t="s">
        <v>237</v>
      </c>
      <c r="H93" s="225">
        <v>465291572</v>
      </c>
      <c r="I93" s="225">
        <f t="shared" si="2"/>
        <v>1779898</v>
      </c>
      <c r="J93" s="55">
        <v>465291572</v>
      </c>
      <c r="K93" s="55">
        <v>465291572</v>
      </c>
      <c r="L93" s="55">
        <v>465291572</v>
      </c>
      <c r="M93" s="56"/>
    </row>
    <row r="94" spans="5:13" ht="79.900000000000006" hidden="1" customHeight="1" x14ac:dyDescent="0.25">
      <c r="E94" s="57"/>
      <c r="F94" s="54"/>
      <c r="G94" s="54"/>
      <c r="H94" s="54"/>
      <c r="I94" s="54">
        <f t="shared" ref="I94:I96" si="3">+F94+G94-H94</f>
        <v>0</v>
      </c>
      <c r="J94" s="55"/>
      <c r="K94" s="55"/>
      <c r="L94" s="55"/>
      <c r="M94" s="56"/>
    </row>
    <row r="95" spans="5:13" ht="15.75" hidden="1" x14ac:dyDescent="0.25">
      <c r="E95" s="57"/>
      <c r="F95" s="54"/>
      <c r="G95" s="54"/>
      <c r="H95" s="54"/>
      <c r="I95" s="54">
        <f t="shared" si="3"/>
        <v>0</v>
      </c>
      <c r="J95" s="55"/>
      <c r="K95" s="55"/>
      <c r="L95" s="55"/>
      <c r="M95" s="56"/>
    </row>
    <row r="96" spans="5:13" ht="15.75" hidden="1" x14ac:dyDescent="0.25">
      <c r="E96" s="58"/>
      <c r="F96" s="54"/>
      <c r="G96" s="54"/>
      <c r="H96" s="54"/>
      <c r="I96" s="54">
        <f t="shared" si="3"/>
        <v>0</v>
      </c>
      <c r="J96" s="55"/>
      <c r="K96" s="55"/>
      <c r="L96" s="55"/>
      <c r="M96" s="56"/>
    </row>
    <row r="97" spans="5:13" ht="15.75" x14ac:dyDescent="0.25">
      <c r="E97" s="1" t="s">
        <v>19</v>
      </c>
      <c r="F97" s="59">
        <f t="shared" ref="F97:K97" si="4">SUM(F91:F96)</f>
        <v>8184071470</v>
      </c>
      <c r="G97" s="59">
        <f t="shared" si="4"/>
        <v>0</v>
      </c>
      <c r="H97" s="59">
        <f t="shared" si="4"/>
        <v>8164361732.3199997</v>
      </c>
      <c r="I97" s="59">
        <f t="shared" si="4"/>
        <v>19709737.680000305</v>
      </c>
      <c r="J97" s="59">
        <f t="shared" si="4"/>
        <v>8143361924.3199997</v>
      </c>
      <c r="K97" s="59">
        <f t="shared" si="4"/>
        <v>4330746076.75</v>
      </c>
      <c r="L97" s="59">
        <f>SUM(L91:L96)</f>
        <v>4330746076.75</v>
      </c>
      <c r="M97" s="13">
        <f>SUM(M91:M96)</f>
        <v>0</v>
      </c>
    </row>
    <row r="98" spans="5:13" ht="15.75" x14ac:dyDescent="0.25">
      <c r="E98" s="224"/>
      <c r="F98" s="182"/>
      <c r="G98" s="182"/>
      <c r="H98" s="182">
        <f>+H97/F97</f>
        <v>0.99759169531299308</v>
      </c>
      <c r="I98" s="182">
        <f>+I97/$F$97</f>
        <v>2.4083046870068824E-3</v>
      </c>
      <c r="J98" s="182">
        <f t="shared" ref="J98:M98" si="5">+J97/$F$97</f>
        <v>0.99502575877676191</v>
      </c>
      <c r="K98" s="182">
        <f t="shared" si="5"/>
        <v>0.52916767560315547</v>
      </c>
      <c r="L98" s="182">
        <f t="shared" si="5"/>
        <v>0.52916767560315547</v>
      </c>
      <c r="M98" s="182">
        <f t="shared" si="5"/>
        <v>0</v>
      </c>
    </row>
    <row r="99" spans="5:13" ht="31.5" x14ac:dyDescent="0.25">
      <c r="E99" s="28"/>
      <c r="F99" s="244" t="s">
        <v>62</v>
      </c>
      <c r="G99" s="32" t="s">
        <v>63</v>
      </c>
      <c r="H99" s="31" t="s">
        <v>9</v>
      </c>
      <c r="I99" s="32" t="s">
        <v>37</v>
      </c>
      <c r="J99" s="40" t="s">
        <v>10</v>
      </c>
      <c r="K99" s="32" t="s">
        <v>11</v>
      </c>
      <c r="L99" s="32" t="s">
        <v>12</v>
      </c>
    </row>
    <row r="100" spans="5:13" ht="15.75" x14ac:dyDescent="0.25">
      <c r="E100" s="28"/>
      <c r="F100" s="245"/>
      <c r="G100" s="60" t="s">
        <v>175</v>
      </c>
      <c r="H100" s="61">
        <f>H97</f>
        <v>8164361732.3199997</v>
      </c>
      <c r="I100" s="61">
        <f>I97</f>
        <v>19709737.680000305</v>
      </c>
      <c r="J100" s="61">
        <f>J97</f>
        <v>8143361924.3199997</v>
      </c>
      <c r="K100" s="61">
        <f>K97</f>
        <v>4330746076.75</v>
      </c>
      <c r="L100" s="61">
        <f>L97</f>
        <v>4330746076.75</v>
      </c>
    </row>
    <row r="101" spans="5:13" ht="15.75" x14ac:dyDescent="0.25">
      <c r="E101" s="28"/>
      <c r="F101" s="245"/>
      <c r="G101" s="60" t="s">
        <v>64</v>
      </c>
      <c r="H101" s="61">
        <v>7202254047.8999996</v>
      </c>
      <c r="I101" s="61">
        <v>152079851.09999999</v>
      </c>
      <c r="J101" s="61">
        <v>7201111108.8999996</v>
      </c>
      <c r="K101" s="61">
        <v>5514529286.8999996</v>
      </c>
      <c r="L101" s="61">
        <v>4621650988.8999996</v>
      </c>
    </row>
    <row r="102" spans="5:13" ht="15.75" x14ac:dyDescent="0.25">
      <c r="E102" s="28"/>
      <c r="F102" s="245"/>
      <c r="G102" s="62" t="s">
        <v>21</v>
      </c>
      <c r="H102" s="61">
        <f>H100-H101</f>
        <v>962107684.42000008</v>
      </c>
      <c r="I102" s="61">
        <f>I100-I101</f>
        <v>-132370113.41999969</v>
      </c>
      <c r="J102" s="61">
        <f>J100-J101</f>
        <v>942250815.42000008</v>
      </c>
      <c r="K102" s="61">
        <f>K100-K101</f>
        <v>-1183783210.1499996</v>
      </c>
      <c r="L102" s="61">
        <f>L100-L101</f>
        <v>-290904912.14999962</v>
      </c>
    </row>
    <row r="103" spans="5:13" ht="18" x14ac:dyDescent="0.25">
      <c r="E103" s="28"/>
      <c r="F103" s="245"/>
      <c r="G103" s="62" t="s">
        <v>62</v>
      </c>
      <c r="H103" s="63">
        <f>(H100-H101)/(H101)*100%</f>
        <v>0.13358424710115954</v>
      </c>
      <c r="I103" s="63">
        <f>(I100-I101)/(I101)*100%</f>
        <v>-0.87039875738015959</v>
      </c>
      <c r="J103" s="63">
        <f>(J100-J101)/(J101)*100%</f>
        <v>0.13084797625958766</v>
      </c>
      <c r="K103" s="63">
        <f>(K100-K101)/(K101)*100%</f>
        <v>-0.21466622962038254</v>
      </c>
      <c r="L103" s="63">
        <f>(L100-L101)/(L101)*100%</f>
        <v>-6.2943937750530574E-2</v>
      </c>
    </row>
    <row r="104" spans="5:13" ht="15.75" x14ac:dyDescent="0.25">
      <c r="E104" s="28"/>
      <c r="F104" s="29"/>
      <c r="G104" s="30"/>
    </row>
    <row r="105" spans="5:13" ht="18" x14ac:dyDescent="0.25">
      <c r="E105" s="64" t="s">
        <v>65</v>
      </c>
      <c r="F105" s="65" t="s">
        <v>66</v>
      </c>
      <c r="G105" s="66" t="s">
        <v>66</v>
      </c>
      <c r="H105" s="67" t="s">
        <v>62</v>
      </c>
      <c r="I105" s="67" t="s">
        <v>67</v>
      </c>
      <c r="J105">
        <v>2203183807</v>
      </c>
      <c r="K105">
        <v>762117145</v>
      </c>
      <c r="L105">
        <v>429331645</v>
      </c>
      <c r="M105">
        <v>426369414</v>
      </c>
    </row>
    <row r="106" spans="5:13" ht="18" x14ac:dyDescent="0.25">
      <c r="E106" s="68" t="s">
        <v>39</v>
      </c>
      <c r="F106" s="69">
        <v>31137602689</v>
      </c>
      <c r="G106" s="70">
        <f>F38</f>
        <v>41662859226</v>
      </c>
      <c r="H106" s="70">
        <f>F106-G106</f>
        <v>-10525256537</v>
      </c>
      <c r="I106" s="63">
        <f>(G106-F106)/(F106)*100%</f>
        <v>0.33802398476611895</v>
      </c>
    </row>
    <row r="107" spans="5:13" ht="18" x14ac:dyDescent="0.25">
      <c r="E107" s="71" t="s">
        <v>9</v>
      </c>
      <c r="F107" s="69">
        <v>29810827508</v>
      </c>
      <c r="G107" s="70">
        <f>G38</f>
        <v>38910374987.029999</v>
      </c>
      <c r="H107" s="70">
        <f>F107-G107</f>
        <v>-9099547479.0299988</v>
      </c>
      <c r="I107" s="63">
        <f>(G107-F107)/(F107)*100%</f>
        <v>0.30524303549064696</v>
      </c>
    </row>
    <row r="108" spans="5:13" ht="18" x14ac:dyDescent="0.25">
      <c r="E108" s="71" t="s">
        <v>10</v>
      </c>
      <c r="F108" s="69">
        <v>29780021888</v>
      </c>
      <c r="G108" s="70">
        <f>H38</f>
        <v>38872543902.029999</v>
      </c>
      <c r="H108" s="70">
        <f>F108-G108</f>
        <v>-9092522014.0299988</v>
      </c>
      <c r="I108" s="63">
        <f>(G108-F108)/(F108)*100%</f>
        <v>0.30532287881540721</v>
      </c>
    </row>
    <row r="109" spans="5:13" ht="18" x14ac:dyDescent="0.25">
      <c r="E109" s="68" t="s">
        <v>11</v>
      </c>
      <c r="F109" s="69">
        <v>25329649941</v>
      </c>
      <c r="G109" s="70">
        <f>I38</f>
        <v>27399530265.459999</v>
      </c>
      <c r="H109" s="70">
        <f>F109-G109</f>
        <v>-2069880324.4599991</v>
      </c>
      <c r="I109" s="63">
        <f>(G109-F109)/(F109)*100%</f>
        <v>8.1717683792762327E-2</v>
      </c>
    </row>
    <row r="110" spans="5:13" ht="18" x14ac:dyDescent="0.25">
      <c r="E110" s="72" t="s">
        <v>12</v>
      </c>
      <c r="F110" s="69">
        <v>24887881202</v>
      </c>
      <c r="G110" s="70">
        <f>J38</f>
        <v>27394441698.459999</v>
      </c>
      <c r="H110" s="70">
        <f>F110-G110</f>
        <v>-2506560496.4599991</v>
      </c>
      <c r="I110" s="63">
        <f>(G110-F110)/(F110)*100%</f>
        <v>0.10071409760098705</v>
      </c>
    </row>
    <row r="111" spans="5:13" ht="15.75" x14ac:dyDescent="0.25">
      <c r="E111" s="28"/>
    </row>
    <row r="112" spans="5:13" ht="36" x14ac:dyDescent="0.25">
      <c r="E112" s="64" t="s">
        <v>68</v>
      </c>
      <c r="F112" s="73" t="s">
        <v>30</v>
      </c>
      <c r="G112" s="65" t="s">
        <v>9</v>
      </c>
      <c r="H112" s="74" t="s">
        <v>10</v>
      </c>
      <c r="I112" s="74" t="s">
        <v>11</v>
      </c>
      <c r="J112" s="65" t="s">
        <v>12</v>
      </c>
    </row>
    <row r="113" spans="5:13" ht="18" x14ac:dyDescent="0.25">
      <c r="E113" s="78">
        <v>2024</v>
      </c>
      <c r="F113" s="75">
        <v>38376620664</v>
      </c>
      <c r="G113" s="75">
        <v>35337360229.779999</v>
      </c>
      <c r="H113" s="76">
        <v>35046713884.580002</v>
      </c>
      <c r="I113" s="76">
        <v>28161117528.830002</v>
      </c>
      <c r="J113" s="77">
        <v>28076732747.830002</v>
      </c>
      <c r="K113">
        <v>12732386476.02</v>
      </c>
      <c r="L113">
        <v>12732386476.02</v>
      </c>
      <c r="M113">
        <v>12732386476.02</v>
      </c>
    </row>
    <row r="114" spans="5:13" ht="18" x14ac:dyDescent="0.25">
      <c r="E114" s="78">
        <v>2025</v>
      </c>
      <c r="F114" s="79">
        <f>F38</f>
        <v>41662859226</v>
      </c>
      <c r="G114" s="79">
        <f>G38</f>
        <v>38910374987.029999</v>
      </c>
      <c r="H114" s="80">
        <f>H38</f>
        <v>38872543902.029999</v>
      </c>
      <c r="I114" s="80">
        <f>I38</f>
        <v>27399530265.459999</v>
      </c>
      <c r="J114" s="79">
        <f>J38</f>
        <v>27394441698.459999</v>
      </c>
      <c r="K114" t="s">
        <v>69</v>
      </c>
    </row>
    <row r="115" spans="5:13" ht="18" x14ac:dyDescent="0.25">
      <c r="E115" s="81" t="s">
        <v>70</v>
      </c>
      <c r="F115" s="82">
        <f>F114-F113</f>
        <v>3286238562</v>
      </c>
      <c r="G115" s="82">
        <f>G114-G113</f>
        <v>3573014757.25</v>
      </c>
      <c r="H115" s="82">
        <f>H114-H113</f>
        <v>3825830017.4499969</v>
      </c>
      <c r="I115" s="82">
        <f>I114-I113</f>
        <v>-761587263.37000275</v>
      </c>
      <c r="J115" s="82">
        <f>J114-J113</f>
        <v>-682291049.37000275</v>
      </c>
    </row>
    <row r="116" spans="5:13" ht="18" x14ac:dyDescent="0.25">
      <c r="E116" s="83" t="s">
        <v>67</v>
      </c>
      <c r="F116" s="215">
        <f>(F114-F113)/F113</f>
        <v>8.5631264690346362E-2</v>
      </c>
      <c r="G116" s="215">
        <f>(G114-G113)/G113</f>
        <v>0.1011115356103736</v>
      </c>
      <c r="H116" s="215">
        <f>(H114-H113)/H113</f>
        <v>0.10916373015882957</v>
      </c>
      <c r="I116" s="215">
        <f>(I114-I113)/I113</f>
        <v>-2.704392901277182E-2</v>
      </c>
      <c r="J116" s="215">
        <f>(J114-J113)/J113</f>
        <v>-2.430094183315314E-2</v>
      </c>
    </row>
    <row r="117" spans="5:13" ht="15.75" x14ac:dyDescent="0.25">
      <c r="E117" s="28"/>
      <c r="F117" s="29"/>
      <c r="G117" s="30"/>
    </row>
    <row r="118" spans="5:13" ht="47.25" x14ac:dyDescent="0.25">
      <c r="E118" s="84" t="s">
        <v>71</v>
      </c>
      <c r="F118" s="32" t="s">
        <v>72</v>
      </c>
      <c r="G118" s="32" t="s">
        <v>73</v>
      </c>
      <c r="H118" s="32" t="s">
        <v>37</v>
      </c>
    </row>
    <row r="119" spans="5:13" ht="15.75" x14ac:dyDescent="0.25">
      <c r="E119" s="85" t="s">
        <v>74</v>
      </c>
      <c r="F119" s="86">
        <v>59557733.700000003</v>
      </c>
      <c r="G119" s="86"/>
      <c r="H119" s="86">
        <f>F119+G119</f>
        <v>59557733.700000003</v>
      </c>
    </row>
    <row r="120" spans="5:13" ht="30" x14ac:dyDescent="0.25">
      <c r="E120" s="85" t="s">
        <v>75</v>
      </c>
      <c r="F120" s="86">
        <v>57355274</v>
      </c>
      <c r="G120" s="86"/>
      <c r="H120" s="86">
        <f t="shared" ref="H120:H131" si="6">F120+G120</f>
        <v>57355274</v>
      </c>
    </row>
    <row r="121" spans="5:13" ht="30" x14ac:dyDescent="0.25">
      <c r="E121" s="85" t="s">
        <v>76</v>
      </c>
      <c r="F121" s="86">
        <v>606412</v>
      </c>
      <c r="G121" s="86"/>
      <c r="H121" s="86">
        <f t="shared" si="6"/>
        <v>606412</v>
      </c>
    </row>
    <row r="122" spans="5:13" ht="15.75" x14ac:dyDescent="0.25">
      <c r="E122" s="85" t="s">
        <v>74</v>
      </c>
      <c r="F122" s="86">
        <v>11742120</v>
      </c>
      <c r="G122" s="86">
        <v>5258349</v>
      </c>
      <c r="H122" s="86">
        <f t="shared" si="6"/>
        <v>17000469</v>
      </c>
    </row>
    <row r="123" spans="5:13" ht="30" x14ac:dyDescent="0.25">
      <c r="E123" s="85" t="s">
        <v>75</v>
      </c>
      <c r="F123" s="86">
        <v>7389021</v>
      </c>
      <c r="G123" s="86">
        <v>27509492</v>
      </c>
      <c r="H123" s="86">
        <f t="shared" si="6"/>
        <v>34898513</v>
      </c>
    </row>
    <row r="124" spans="5:13" ht="30" x14ac:dyDescent="0.25">
      <c r="E124" s="85" t="s">
        <v>76</v>
      </c>
      <c r="F124" s="86">
        <v>2547506</v>
      </c>
      <c r="G124" s="86">
        <v>6603001</v>
      </c>
      <c r="H124" s="86">
        <f t="shared" si="6"/>
        <v>9150507</v>
      </c>
    </row>
    <row r="125" spans="5:13" ht="30" x14ac:dyDescent="0.25">
      <c r="E125" s="85" t="s">
        <v>77</v>
      </c>
      <c r="F125" s="86">
        <v>918</v>
      </c>
      <c r="G125" s="86">
        <v>12227400</v>
      </c>
      <c r="H125" s="86">
        <f t="shared" si="6"/>
        <v>12228318</v>
      </c>
    </row>
    <row r="126" spans="5:13" ht="15.75" x14ac:dyDescent="0.25">
      <c r="E126" s="85" t="s">
        <v>78</v>
      </c>
      <c r="F126" s="86">
        <v>195317215</v>
      </c>
      <c r="G126" s="86">
        <v>403603012</v>
      </c>
      <c r="H126" s="86">
        <f t="shared" si="6"/>
        <v>598920227</v>
      </c>
    </row>
    <row r="127" spans="5:13" ht="30" x14ac:dyDescent="0.25">
      <c r="E127" s="85" t="s">
        <v>79</v>
      </c>
      <c r="F127" s="86"/>
      <c r="G127" s="86">
        <v>11192608</v>
      </c>
      <c r="H127" s="86">
        <f t="shared" si="6"/>
        <v>11192608</v>
      </c>
    </row>
    <row r="128" spans="5:13" ht="15.75" x14ac:dyDescent="0.25">
      <c r="E128" s="85" t="s">
        <v>80</v>
      </c>
      <c r="F128" s="86"/>
      <c r="G128" s="86">
        <v>60000000</v>
      </c>
      <c r="H128" s="86">
        <f t="shared" si="6"/>
        <v>60000000</v>
      </c>
    </row>
    <row r="129" spans="5:9" ht="15.75" x14ac:dyDescent="0.25">
      <c r="E129" s="85" t="s">
        <v>81</v>
      </c>
      <c r="F129" s="86"/>
      <c r="G129" s="86">
        <v>49992910</v>
      </c>
      <c r="H129" s="86">
        <f t="shared" si="6"/>
        <v>49992910</v>
      </c>
    </row>
    <row r="130" spans="5:9" ht="15.75" x14ac:dyDescent="0.25">
      <c r="E130" s="85" t="s">
        <v>82</v>
      </c>
      <c r="F130" s="86"/>
      <c r="G130" s="86">
        <v>17644558</v>
      </c>
      <c r="H130" s="86">
        <f t="shared" si="6"/>
        <v>17644558</v>
      </c>
    </row>
    <row r="131" spans="5:9" ht="15.75" x14ac:dyDescent="0.25">
      <c r="E131" s="85" t="s">
        <v>83</v>
      </c>
      <c r="F131" s="86"/>
      <c r="G131" s="86">
        <v>28428299</v>
      </c>
      <c r="H131" s="86">
        <f t="shared" si="6"/>
        <v>28428299</v>
      </c>
    </row>
    <row r="132" spans="5:9" ht="15.75" x14ac:dyDescent="0.25">
      <c r="E132" s="87" t="s">
        <v>84</v>
      </c>
      <c r="F132" s="88">
        <f>SUM(F119:F131)</f>
        <v>334516199.69999999</v>
      </c>
      <c r="G132" s="88">
        <f>SUM(G119:G131)</f>
        <v>622459629</v>
      </c>
      <c r="H132" s="88">
        <f>SUM(H119:H131)</f>
        <v>956975828.70000005</v>
      </c>
    </row>
    <row r="133" spans="5:9" ht="47.25" x14ac:dyDescent="0.25">
      <c r="E133" s="84" t="s">
        <v>71</v>
      </c>
      <c r="F133" s="32" t="s">
        <v>72</v>
      </c>
      <c r="G133" s="32" t="s">
        <v>73</v>
      </c>
      <c r="H133" s="32" t="s">
        <v>37</v>
      </c>
    </row>
    <row r="134" spans="5:9" ht="71.25" x14ac:dyDescent="0.25">
      <c r="E134" s="89" t="s">
        <v>58</v>
      </c>
      <c r="F134" s="86">
        <v>52593</v>
      </c>
      <c r="G134" s="86">
        <v>7792336</v>
      </c>
      <c r="H134" s="86">
        <f>F134+G134</f>
        <v>7844929</v>
      </c>
    </row>
    <row r="135" spans="5:9" ht="85.5" x14ac:dyDescent="0.25">
      <c r="E135" s="89" t="s">
        <v>59</v>
      </c>
      <c r="F135" s="86">
        <v>10000000</v>
      </c>
      <c r="G135" s="86">
        <v>15427848</v>
      </c>
      <c r="H135" s="86">
        <f>F135+G135</f>
        <v>25427848</v>
      </c>
    </row>
    <row r="136" spans="5:9" ht="71.25" x14ac:dyDescent="0.25">
      <c r="E136" s="89" t="s">
        <v>60</v>
      </c>
      <c r="F136" s="86">
        <v>23085162</v>
      </c>
      <c r="G136" s="86">
        <v>27564838</v>
      </c>
      <c r="H136" s="86">
        <f>F136+G136</f>
        <v>50650000</v>
      </c>
    </row>
    <row r="137" spans="5:9" ht="85.5" x14ac:dyDescent="0.25">
      <c r="E137" s="89" t="s">
        <v>61</v>
      </c>
      <c r="F137" s="86">
        <v>8420024</v>
      </c>
      <c r="G137" s="86">
        <v>37976877</v>
      </c>
      <c r="H137" s="86">
        <f>F137+G137</f>
        <v>46396901</v>
      </c>
    </row>
    <row r="138" spans="5:9" ht="15.75" x14ac:dyDescent="0.25">
      <c r="E138" s="90" t="s">
        <v>85</v>
      </c>
      <c r="F138" s="88">
        <f>SUM(F134:F137)</f>
        <v>41557779</v>
      </c>
      <c r="G138" s="88">
        <f>SUM(G134:G137)</f>
        <v>88761899</v>
      </c>
      <c r="H138" s="88">
        <f>SUM(H134:H137)</f>
        <v>130319678</v>
      </c>
    </row>
    <row r="139" spans="5:9" ht="15.75" x14ac:dyDescent="0.25">
      <c r="E139" s="28"/>
      <c r="F139" s="29"/>
      <c r="G139" s="30"/>
    </row>
    <row r="140" spans="5:9" ht="15.75" x14ac:dyDescent="0.25">
      <c r="E140" s="28"/>
      <c r="F140" s="29"/>
      <c r="G140" s="30"/>
    </row>
    <row r="141" spans="5:9" ht="31.5" x14ac:dyDescent="0.25">
      <c r="E141" s="91" t="s">
        <v>86</v>
      </c>
      <c r="F141" s="92" t="s">
        <v>30</v>
      </c>
      <c r="G141" s="93" t="s">
        <v>9</v>
      </c>
      <c r="H141" s="94" t="s">
        <v>10</v>
      </c>
      <c r="I141" s="95" t="s">
        <v>87</v>
      </c>
    </row>
    <row r="142" spans="5:9" ht="15.75" x14ac:dyDescent="0.25">
      <c r="E142" s="8" t="s">
        <v>13</v>
      </c>
      <c r="F142" s="9">
        <v>9629779804</v>
      </c>
      <c r="G142" s="26">
        <v>9416608661</v>
      </c>
      <c r="H142" s="26">
        <v>9354143165</v>
      </c>
      <c r="I142" s="26">
        <f t="shared" ref="I142:I147" si="7">G142-H142</f>
        <v>62465496</v>
      </c>
    </row>
    <row r="143" spans="5:9" ht="15.75" x14ac:dyDescent="0.25">
      <c r="E143" s="8" t="s">
        <v>32</v>
      </c>
      <c r="F143" s="9">
        <v>5212182900</v>
      </c>
      <c r="G143" s="26">
        <v>5170842441</v>
      </c>
      <c r="H143" s="26">
        <v>5050567773</v>
      </c>
      <c r="I143" s="26">
        <f t="shared" si="7"/>
        <v>120274668</v>
      </c>
    </row>
    <row r="144" spans="5:9" ht="15.75" x14ac:dyDescent="0.25">
      <c r="E144" s="8" t="s">
        <v>33</v>
      </c>
      <c r="F144" s="9">
        <v>525000000</v>
      </c>
      <c r="G144" s="26">
        <v>464870713</v>
      </c>
      <c r="H144" s="26">
        <v>457775365</v>
      </c>
      <c r="I144" s="26">
        <f t="shared" si="7"/>
        <v>7095348</v>
      </c>
    </row>
    <row r="145" spans="5:9" ht="15.75" x14ac:dyDescent="0.25">
      <c r="E145" s="8" t="s">
        <v>34</v>
      </c>
      <c r="F145" s="9">
        <v>200000000</v>
      </c>
      <c r="G145" s="26">
        <v>152846849</v>
      </c>
      <c r="H145" s="26">
        <v>148491154</v>
      </c>
      <c r="I145" s="26">
        <f t="shared" si="7"/>
        <v>4355695</v>
      </c>
    </row>
    <row r="146" spans="5:9" ht="30.75" x14ac:dyDescent="0.25">
      <c r="E146" s="11" t="s">
        <v>88</v>
      </c>
      <c r="F146" s="9">
        <v>52178500</v>
      </c>
      <c r="G146" s="26">
        <v>24589500</v>
      </c>
      <c r="H146" s="26">
        <v>22178500</v>
      </c>
      <c r="I146" s="26">
        <f t="shared" si="7"/>
        <v>2411000</v>
      </c>
    </row>
    <row r="147" spans="5:9" ht="15.75" x14ac:dyDescent="0.25">
      <c r="E147" s="8" t="s">
        <v>18</v>
      </c>
      <c r="F147" s="9">
        <v>3374368879</v>
      </c>
      <c r="G147" s="26">
        <v>3364538464</v>
      </c>
      <c r="H147" s="26">
        <v>3356928315</v>
      </c>
      <c r="I147" s="26">
        <f t="shared" si="7"/>
        <v>7610149</v>
      </c>
    </row>
    <row r="148" spans="5:9" ht="15.75" x14ac:dyDescent="0.25">
      <c r="E148" s="12" t="s">
        <v>19</v>
      </c>
      <c r="F148" s="13">
        <f>SUM(F142:F147)</f>
        <v>18993510083</v>
      </c>
      <c r="G148" s="13">
        <f>SUM(G142:G147)</f>
        <v>18594296628</v>
      </c>
      <c r="H148" s="13">
        <f>SUM(H142:H147)</f>
        <v>18390084272</v>
      </c>
      <c r="I148" s="13">
        <f>SUM(I142:I147)</f>
        <v>204212356</v>
      </c>
    </row>
    <row r="149" spans="5:9" ht="15.75" x14ac:dyDescent="0.25">
      <c r="E149" s="28" t="s">
        <v>20</v>
      </c>
      <c r="F149" s="29"/>
      <c r="G149" s="30">
        <f>G148/F148</f>
        <v>0.97898158617046183</v>
      </c>
      <c r="H149" s="30">
        <f>H148/F148</f>
        <v>0.96822989492921097</v>
      </c>
    </row>
    <row r="150" spans="5:9" ht="15.75" x14ac:dyDescent="0.25">
      <c r="E150" s="28"/>
      <c r="F150" s="29"/>
      <c r="G150" s="30"/>
    </row>
    <row r="151" spans="5:9" ht="15.75" x14ac:dyDescent="0.25">
      <c r="E151" s="28"/>
      <c r="F151" s="29"/>
      <c r="G151" s="30"/>
    </row>
    <row r="152" spans="5:9" ht="15.75" x14ac:dyDescent="0.25">
      <c r="E152" s="28"/>
      <c r="F152" s="29"/>
      <c r="G152" s="30"/>
    </row>
    <row r="153" spans="5:9" ht="31.5" x14ac:dyDescent="0.25">
      <c r="E153" s="18" t="s">
        <v>89</v>
      </c>
      <c r="F153" s="2" t="s">
        <v>30</v>
      </c>
      <c r="G153" s="31" t="s">
        <v>10</v>
      </c>
      <c r="H153" s="31" t="s">
        <v>11</v>
      </c>
      <c r="I153" s="32" t="s">
        <v>90</v>
      </c>
    </row>
    <row r="154" spans="5:9" ht="15.75" x14ac:dyDescent="0.25">
      <c r="E154" s="8" t="s">
        <v>13</v>
      </c>
      <c r="F154" s="9">
        <v>10148170492</v>
      </c>
      <c r="G154" s="26">
        <v>9969601583.2999992</v>
      </c>
      <c r="H154" s="26">
        <v>9969601583.2999992</v>
      </c>
      <c r="I154" s="26">
        <f t="shared" ref="I154:I159" si="8">G154-H154</f>
        <v>0</v>
      </c>
    </row>
    <row r="155" spans="5:9" ht="15.75" x14ac:dyDescent="0.25">
      <c r="E155" s="8" t="s">
        <v>32</v>
      </c>
      <c r="F155" s="9">
        <v>6017412067</v>
      </c>
      <c r="G155" s="26">
        <v>5406263522</v>
      </c>
      <c r="H155" s="26">
        <v>4504988798</v>
      </c>
      <c r="I155" s="26">
        <f t="shared" si="8"/>
        <v>901274724</v>
      </c>
    </row>
    <row r="156" spans="5:9" ht="15.75" x14ac:dyDescent="0.25">
      <c r="E156" s="8" t="s">
        <v>33</v>
      </c>
      <c r="F156" s="9">
        <v>540810000</v>
      </c>
      <c r="G156" s="26">
        <v>469617392</v>
      </c>
      <c r="H156" s="26">
        <v>469617392</v>
      </c>
      <c r="I156" s="26">
        <f t="shared" si="8"/>
        <v>0</v>
      </c>
    </row>
    <row r="157" spans="5:9" ht="15.75" x14ac:dyDescent="0.25">
      <c r="E157" s="8" t="s">
        <v>34</v>
      </c>
      <c r="F157" s="9">
        <v>206800000</v>
      </c>
      <c r="G157" s="26">
        <v>139162532</v>
      </c>
      <c r="H157" s="26">
        <v>139162532</v>
      </c>
      <c r="I157" s="26">
        <f t="shared" si="8"/>
        <v>0</v>
      </c>
    </row>
    <row r="158" spans="5:9" ht="30.75" x14ac:dyDescent="0.25">
      <c r="E158" s="11" t="s">
        <v>88</v>
      </c>
      <c r="F158" s="9">
        <v>68495424</v>
      </c>
      <c r="G158" s="26">
        <v>40067125</v>
      </c>
      <c r="H158" s="26">
        <v>40067125</v>
      </c>
      <c r="I158" s="26">
        <f t="shared" si="8"/>
        <v>0</v>
      </c>
    </row>
    <row r="159" spans="5:9" ht="15.75" x14ac:dyDescent="0.25">
      <c r="E159" s="8" t="s">
        <v>18</v>
      </c>
      <c r="F159" s="9">
        <v>5284325264</v>
      </c>
      <c r="G159" s="26">
        <v>5154005586</v>
      </c>
      <c r="H159" s="26">
        <v>254382700</v>
      </c>
      <c r="I159" s="26">
        <f t="shared" si="8"/>
        <v>4899622886</v>
      </c>
    </row>
    <row r="160" spans="5:9" ht="15.75" x14ac:dyDescent="0.25">
      <c r="E160" s="12" t="s">
        <v>19</v>
      </c>
      <c r="F160" s="13">
        <f>SUM(F154:F159)</f>
        <v>22266013247</v>
      </c>
      <c r="G160" s="13">
        <f>SUM(G154:G159)</f>
        <v>21178717740.299999</v>
      </c>
      <c r="H160" s="13">
        <f>SUM(H154:H159)</f>
        <v>15377820130.299999</v>
      </c>
      <c r="I160" s="13">
        <f>SUM(I154:I159)</f>
        <v>5800897610</v>
      </c>
    </row>
    <row r="161" spans="5:14" ht="15.75" x14ac:dyDescent="0.25">
      <c r="E161" s="28" t="s">
        <v>20</v>
      </c>
      <c r="F161" s="29"/>
      <c r="G161" s="30">
        <f>G160/F160</f>
        <v>0.95116793048497372</v>
      </c>
      <c r="H161" s="96">
        <f>H160/F160</f>
        <v>0.69064093152697292</v>
      </c>
      <c r="I161" s="96">
        <f>I160/G160</f>
        <v>0.27390221075385224</v>
      </c>
    </row>
    <row r="162" spans="5:14" ht="15.75" x14ac:dyDescent="0.25">
      <c r="E162" s="28"/>
      <c r="F162" s="29"/>
      <c r="G162" s="30"/>
      <c r="H162" s="96"/>
      <c r="I162" s="96"/>
    </row>
    <row r="163" spans="5:14" ht="31.5" x14ac:dyDescent="0.25">
      <c r="E163" s="18" t="s">
        <v>89</v>
      </c>
      <c r="F163" s="2" t="s">
        <v>30</v>
      </c>
      <c r="G163" s="31" t="s">
        <v>11</v>
      </c>
      <c r="H163" s="31" t="s">
        <v>12</v>
      </c>
      <c r="I163" s="32" t="s">
        <v>91</v>
      </c>
    </row>
    <row r="164" spans="5:14" ht="15.75" x14ac:dyDescent="0.25">
      <c r="E164" s="8" t="s">
        <v>13</v>
      </c>
      <c r="F164" s="9">
        <v>10148170492</v>
      </c>
      <c r="G164" s="26">
        <v>9969601583.2999992</v>
      </c>
      <c r="H164" s="26">
        <v>9957771255.2999992</v>
      </c>
      <c r="I164" s="26">
        <f t="shared" ref="I164:I169" si="9">G164-H164</f>
        <v>11830328</v>
      </c>
    </row>
    <row r="165" spans="5:14" ht="15.75" x14ac:dyDescent="0.25">
      <c r="E165" s="8" t="s">
        <v>32</v>
      </c>
      <c r="F165" s="9">
        <v>6017412067</v>
      </c>
      <c r="G165" s="26">
        <v>4504988798</v>
      </c>
      <c r="H165" s="26">
        <v>4367342398</v>
      </c>
      <c r="I165" s="26">
        <f t="shared" si="9"/>
        <v>137646400</v>
      </c>
    </row>
    <row r="166" spans="5:14" ht="15.75" x14ac:dyDescent="0.25">
      <c r="E166" s="8" t="s">
        <v>33</v>
      </c>
      <c r="F166" s="9">
        <v>540810000</v>
      </c>
      <c r="G166" s="26">
        <v>469617392</v>
      </c>
      <c r="H166" s="26">
        <v>469617392</v>
      </c>
      <c r="I166" s="26">
        <f t="shared" si="9"/>
        <v>0</v>
      </c>
    </row>
    <row r="167" spans="5:14" ht="15.75" x14ac:dyDescent="0.25">
      <c r="E167" s="8" t="s">
        <v>34</v>
      </c>
      <c r="F167" s="9">
        <v>206800000</v>
      </c>
      <c r="G167" s="26">
        <v>139162532</v>
      </c>
      <c r="H167" s="26">
        <v>139162532</v>
      </c>
      <c r="I167" s="26">
        <f t="shared" si="9"/>
        <v>0</v>
      </c>
    </row>
    <row r="168" spans="5:14" ht="30.75" x14ac:dyDescent="0.25">
      <c r="E168" s="11" t="s">
        <v>88</v>
      </c>
      <c r="F168" s="9">
        <v>68495424</v>
      </c>
      <c r="G168" s="26">
        <v>40067125</v>
      </c>
      <c r="H168" s="26">
        <v>40067125</v>
      </c>
      <c r="I168" s="26">
        <f t="shared" si="9"/>
        <v>0</v>
      </c>
    </row>
    <row r="169" spans="5:14" ht="15.75" x14ac:dyDescent="0.25">
      <c r="E169" s="8" t="s">
        <v>18</v>
      </c>
      <c r="F169" s="9">
        <v>5284325264</v>
      </c>
      <c r="G169" s="26">
        <v>254382700</v>
      </c>
      <c r="H169" s="26">
        <v>170651000</v>
      </c>
      <c r="I169" s="26">
        <f t="shared" si="9"/>
        <v>83731700</v>
      </c>
    </row>
    <row r="170" spans="5:14" ht="15.75" x14ac:dyDescent="0.25">
      <c r="E170" s="12" t="s">
        <v>19</v>
      </c>
      <c r="F170" s="13">
        <f>SUM(F164:F169)</f>
        <v>22266013247</v>
      </c>
      <c r="G170" s="13">
        <f>SUM(G164:G169)</f>
        <v>15377820130.299999</v>
      </c>
      <c r="H170" s="13">
        <v>15144611702.299999</v>
      </c>
      <c r="I170" s="13">
        <f>SUM(I164:I169)</f>
        <v>233208428</v>
      </c>
    </row>
    <row r="171" spans="5:14" ht="15.75" x14ac:dyDescent="0.25">
      <c r="E171" s="28" t="s">
        <v>20</v>
      </c>
      <c r="F171" s="29"/>
      <c r="G171" s="30">
        <f>G170/F170</f>
        <v>0.69064093152697292</v>
      </c>
      <c r="H171" s="96">
        <v>0.68016719177783214</v>
      </c>
      <c r="I171" s="96">
        <f>I170/G170</f>
        <v>1.5165246180796005E-2</v>
      </c>
    </row>
    <row r="172" spans="5:14" ht="15.75" x14ac:dyDescent="0.25">
      <c r="E172" s="28"/>
      <c r="F172" s="29"/>
      <c r="G172" s="30"/>
    </row>
    <row r="173" spans="5:14" ht="15.75" x14ac:dyDescent="0.25">
      <c r="E173" s="28"/>
      <c r="F173" s="29"/>
      <c r="G173" s="30"/>
      <c r="H173">
        <v>6194828734.5500002</v>
      </c>
      <c r="I173" s="30"/>
      <c r="J173" s="30"/>
    </row>
    <row r="174" spans="5:14" ht="15.75" x14ac:dyDescent="0.25">
      <c r="E174" s="28"/>
      <c r="F174" s="29"/>
      <c r="G174" s="30"/>
      <c r="I174" s="30"/>
      <c r="J174" s="30"/>
    </row>
    <row r="175" spans="5:14" ht="47.25" x14ac:dyDescent="0.25">
      <c r="E175" s="18" t="s">
        <v>92</v>
      </c>
      <c r="F175" s="18" t="s">
        <v>39</v>
      </c>
      <c r="G175" s="32" t="s">
        <v>93</v>
      </c>
      <c r="H175" s="25" t="s">
        <v>94</v>
      </c>
      <c r="I175">
        <v>9922828734.5499992</v>
      </c>
      <c r="J175" s="18" t="s">
        <v>44</v>
      </c>
      <c r="K175" s="18" t="s">
        <v>39</v>
      </c>
      <c r="L175" s="32" t="s">
        <v>93</v>
      </c>
      <c r="M175" s="25" t="s">
        <v>94</v>
      </c>
      <c r="N175" s="97"/>
    </row>
    <row r="176" spans="5:14" ht="15.75" x14ac:dyDescent="0.25">
      <c r="E176" s="98" t="s">
        <v>95</v>
      </c>
      <c r="F176" s="9">
        <v>14069055409</v>
      </c>
      <c r="G176" s="9">
        <f>9922828735+2613800790</f>
        <v>12536629525</v>
      </c>
      <c r="H176" s="9">
        <f>F176-G176</f>
        <v>1532425884</v>
      </c>
      <c r="I176" s="27">
        <f>G176-I175</f>
        <v>2613800790.4500008</v>
      </c>
      <c r="J176" s="98" t="s">
        <v>95</v>
      </c>
      <c r="K176" s="9">
        <v>12238957965</v>
      </c>
      <c r="L176" s="9">
        <f>746716473+858000000+380000000+233000000+64000000+189000000+190000000+137000000+115400000+1162000000+198000000+286000000+260000000+G185</f>
        <v>4819116473</v>
      </c>
      <c r="M176" s="9">
        <f>K176-L176</f>
        <v>7419841492</v>
      </c>
      <c r="N176" s="99"/>
    </row>
    <row r="177" spans="5:15" ht="15.75" x14ac:dyDescent="0.25">
      <c r="E177" s="12" t="s">
        <v>19</v>
      </c>
      <c r="F177" s="13">
        <f>SUM(F176:F176)</f>
        <v>14069055409</v>
      </c>
      <c r="G177" s="42">
        <f>SUM(G176:G176)</f>
        <v>12536629525</v>
      </c>
      <c r="H177" s="42">
        <f>SUM(H176:H176)</f>
        <v>1532425884</v>
      </c>
      <c r="I177" s="17"/>
      <c r="J177" s="12" t="s">
        <v>19</v>
      </c>
      <c r="K177" s="13">
        <f>SUM(K176:K176)</f>
        <v>12238957965</v>
      </c>
      <c r="L177" s="42">
        <f>SUM(L176:L176)</f>
        <v>4819116473</v>
      </c>
      <c r="M177" s="42">
        <f>SUM(M176:M176)</f>
        <v>7419841492</v>
      </c>
      <c r="N177" s="100"/>
    </row>
    <row r="178" spans="5:15" ht="15.75" x14ac:dyDescent="0.25">
      <c r="E178" s="28" t="s">
        <v>20</v>
      </c>
      <c r="F178" s="29"/>
      <c r="G178" s="30">
        <f>G177/F177</f>
        <v>0.89107826791131239</v>
      </c>
      <c r="J178" s="28" t="s">
        <v>20</v>
      </c>
      <c r="K178" s="29"/>
      <c r="L178" s="30">
        <f>L177/K177</f>
        <v>0.39375218762751918</v>
      </c>
    </row>
    <row r="179" spans="5:15" ht="15.75" x14ac:dyDescent="0.25">
      <c r="E179" s="28"/>
      <c r="F179" s="39"/>
      <c r="G179" s="30">
        <f>(G176+G185)/F177</f>
        <v>0.89107826791131239</v>
      </c>
      <c r="H179" s="101"/>
      <c r="M179" s="27"/>
    </row>
    <row r="180" spans="5:15" ht="31.5" x14ac:dyDescent="0.25">
      <c r="E180" s="102" t="s">
        <v>96</v>
      </c>
      <c r="F180" s="29" t="s">
        <v>97</v>
      </c>
      <c r="G180" s="30"/>
      <c r="H180" s="103">
        <v>184460756</v>
      </c>
      <c r="I180" s="103"/>
      <c r="J180" t="s">
        <v>98</v>
      </c>
    </row>
    <row r="181" spans="5:15" ht="15.75" x14ac:dyDescent="0.25">
      <c r="E181" s="28"/>
      <c r="F181" s="29" t="s">
        <v>99</v>
      </c>
      <c r="G181" s="30"/>
      <c r="H181" s="103">
        <v>0</v>
      </c>
      <c r="I181" s="103">
        <v>2151514152</v>
      </c>
      <c r="J181">
        <v>1151884456</v>
      </c>
    </row>
    <row r="182" spans="5:15" ht="15.75" x14ac:dyDescent="0.25">
      <c r="E182" s="28"/>
      <c r="F182" s="29" t="s">
        <v>100</v>
      </c>
      <c r="G182" s="30"/>
      <c r="H182" s="103">
        <f>SUM(H180:H181)</f>
        <v>184460756</v>
      </c>
    </row>
    <row r="183" spans="5:15" ht="15.75" x14ac:dyDescent="0.25">
      <c r="E183" s="28"/>
      <c r="F183" s="29" t="s">
        <v>101</v>
      </c>
      <c r="G183" s="30"/>
      <c r="H183" s="103"/>
    </row>
    <row r="184" spans="5:15" ht="16.5" thickBot="1" x14ac:dyDescent="0.3">
      <c r="E184" s="28"/>
      <c r="F184" s="29"/>
      <c r="G184" s="30"/>
      <c r="H184" s="103"/>
    </row>
    <row r="185" spans="5:15" ht="32.25" thickBot="1" x14ac:dyDescent="0.3">
      <c r="E185" s="102" t="s">
        <v>102</v>
      </c>
      <c r="F185" s="29" t="s">
        <v>103</v>
      </c>
      <c r="G185" s="104">
        <f>K193</f>
        <v>0</v>
      </c>
      <c r="H185" s="27">
        <f>G176+G185</f>
        <v>12536629525</v>
      </c>
      <c r="J185" s="105" t="s">
        <v>104</v>
      </c>
      <c r="K185" s="106" t="s">
        <v>105</v>
      </c>
      <c r="M185" s="105" t="s">
        <v>104</v>
      </c>
      <c r="N185" s="106" t="s">
        <v>106</v>
      </c>
    </row>
    <row r="186" spans="5:15" ht="16.5" thickBot="1" x14ac:dyDescent="0.3">
      <c r="E186" s="107"/>
      <c r="F186" s="108"/>
      <c r="G186" s="104"/>
      <c r="J186" s="109" t="s">
        <v>107</v>
      </c>
      <c r="K186" s="110"/>
      <c r="M186" s="109" t="s">
        <v>107</v>
      </c>
      <c r="N186" s="110"/>
      <c r="O186" t="s">
        <v>207</v>
      </c>
    </row>
    <row r="187" spans="5:15" ht="16.5" thickBot="1" x14ac:dyDescent="0.3">
      <c r="E187" s="107"/>
      <c r="F187" s="29"/>
      <c r="G187" s="111"/>
      <c r="J187" s="109" t="s">
        <v>108</v>
      </c>
      <c r="K187" s="110"/>
      <c r="M187" s="109" t="s">
        <v>108</v>
      </c>
      <c r="N187" s="110"/>
    </row>
    <row r="188" spans="5:15" ht="16.5" thickBot="1" x14ac:dyDescent="0.3">
      <c r="E188" s="107"/>
      <c r="F188" s="29"/>
      <c r="G188" s="111"/>
      <c r="J188" s="109"/>
      <c r="K188" s="110"/>
      <c r="M188" s="109" t="s">
        <v>109</v>
      </c>
      <c r="N188" s="110"/>
    </row>
    <row r="189" spans="5:15" ht="16.5" thickBot="1" x14ac:dyDescent="0.3">
      <c r="E189" s="107"/>
      <c r="H189" s="112"/>
      <c r="I189" s="112"/>
      <c r="J189" s="109" t="s">
        <v>110</v>
      </c>
      <c r="K189" s="110"/>
      <c r="M189" s="109" t="s">
        <v>111</v>
      </c>
      <c r="N189" s="110"/>
    </row>
    <row r="190" spans="5:15" ht="16.5" thickBot="1" x14ac:dyDescent="0.3">
      <c r="E190" s="107"/>
      <c r="H190" s="112"/>
      <c r="I190" s="112"/>
      <c r="J190" s="109"/>
      <c r="K190" s="110"/>
      <c r="M190" s="109" t="s">
        <v>110</v>
      </c>
      <c r="N190" s="110"/>
    </row>
    <row r="191" spans="5:15" ht="16.5" thickBot="1" x14ac:dyDescent="0.3">
      <c r="E191" s="107"/>
      <c r="F191" s="29"/>
      <c r="G191" s="111"/>
      <c r="I191" s="112"/>
      <c r="J191" s="109" t="s">
        <v>111</v>
      </c>
      <c r="K191" s="110"/>
      <c r="M191" s="109" t="s">
        <v>112</v>
      </c>
      <c r="N191" s="110"/>
    </row>
    <row r="192" spans="5:15" ht="25.5" thickBot="1" x14ac:dyDescent="0.3">
      <c r="E192" s="102" t="s">
        <v>176</v>
      </c>
      <c r="F192" s="29"/>
      <c r="G192" s="104"/>
      <c r="I192" s="112"/>
      <c r="J192" s="109" t="s">
        <v>112</v>
      </c>
      <c r="K192" s="110"/>
      <c r="M192" s="113" t="s">
        <v>113</v>
      </c>
      <c r="N192" s="113">
        <f>SUM(N186:N191)</f>
        <v>0</v>
      </c>
    </row>
    <row r="193" spans="5:14" ht="50.25" customHeight="1" thickBot="1" x14ac:dyDescent="0.3">
      <c r="E193" s="18" t="s">
        <v>213</v>
      </c>
      <c r="F193" s="18" t="s">
        <v>39</v>
      </c>
      <c r="G193" s="32" t="s">
        <v>114</v>
      </c>
      <c r="H193" s="31" t="s">
        <v>94</v>
      </c>
      <c r="J193" s="113" t="s">
        <v>113</v>
      </c>
      <c r="K193" s="113">
        <f>SUM(K186:K192)</f>
        <v>0</v>
      </c>
      <c r="N193" s="202"/>
    </row>
    <row r="194" spans="5:14" ht="20.25" customHeight="1" x14ac:dyDescent="0.25">
      <c r="E194" s="98" t="s">
        <v>95</v>
      </c>
      <c r="F194" s="114">
        <v>18744949133</v>
      </c>
      <c r="G194" s="179">
        <v>18703405707.759998</v>
      </c>
      <c r="H194" s="180">
        <f>F194-G194</f>
        <v>41543425.240001678</v>
      </c>
      <c r="N194" s="15"/>
    </row>
    <row r="195" spans="5:14" ht="17.25" customHeight="1" x14ac:dyDescent="0.25">
      <c r="E195" s="12" t="s">
        <v>19</v>
      </c>
      <c r="F195" s="13">
        <f>SUM(F194:F194)</f>
        <v>18744949133</v>
      </c>
      <c r="G195" s="42">
        <f>SUM(G194:G194)</f>
        <v>18703405707.759998</v>
      </c>
      <c r="H195" s="42">
        <f>SUM(H194:H194)</f>
        <v>41543425.240001678</v>
      </c>
    </row>
    <row r="196" spans="5:14" ht="18" customHeight="1" x14ac:dyDescent="0.25">
      <c r="E196" s="28" t="s">
        <v>20</v>
      </c>
      <c r="F196" s="29"/>
      <c r="G196" s="182">
        <f>G195/F195</f>
        <v>0.99778375364236838</v>
      </c>
      <c r="J196" s="15">
        <f>+G194+84745368.6</f>
        <v>18788151076.359997</v>
      </c>
    </row>
    <row r="197" spans="5:14" ht="15" customHeight="1" x14ac:dyDescent="0.25">
      <c r="E197" s="28"/>
      <c r="F197" s="39"/>
      <c r="G197" s="30"/>
      <c r="H197" s="27"/>
    </row>
    <row r="198" spans="5:14" ht="15.75" x14ac:dyDescent="0.25">
      <c r="E198" s="243" t="s">
        <v>115</v>
      </c>
      <c r="F198" s="243"/>
      <c r="G198" s="243"/>
      <c r="H198" s="243"/>
      <c r="I198" s="36"/>
    </row>
    <row r="199" spans="5:14" ht="63" x14ac:dyDescent="0.25">
      <c r="E199" s="18" t="s">
        <v>213</v>
      </c>
      <c r="F199" s="18" t="s">
        <v>39</v>
      </c>
      <c r="G199" s="32" t="s">
        <v>116</v>
      </c>
      <c r="H199" s="31" t="s">
        <v>94</v>
      </c>
    </row>
    <row r="200" spans="5:14" ht="15.75" x14ac:dyDescent="0.25">
      <c r="E200" s="98" t="s">
        <v>95</v>
      </c>
      <c r="F200" s="9">
        <f>F194</f>
        <v>18744949133</v>
      </c>
      <c r="G200" s="226">
        <f>G194+N192</f>
        <v>18703405707.759998</v>
      </c>
      <c r="H200" s="117">
        <f>G200-F200</f>
        <v>-41543425.240001678</v>
      </c>
      <c r="I200" t="s">
        <v>117</v>
      </c>
    </row>
    <row r="201" spans="5:14" ht="15.75" x14ac:dyDescent="0.25">
      <c r="E201" s="12" t="s">
        <v>19</v>
      </c>
      <c r="F201" s="13">
        <f>SUM(F200:F200)</f>
        <v>18744949133</v>
      </c>
      <c r="G201" s="42">
        <f>SUM(G200:G200)</f>
        <v>18703405707.759998</v>
      </c>
      <c r="H201" s="42">
        <f>SUM(H200:H200)</f>
        <v>-41543425.240001678</v>
      </c>
    </row>
    <row r="202" spans="5:14" ht="15.75" x14ac:dyDescent="0.25">
      <c r="E202" s="28" t="s">
        <v>20</v>
      </c>
      <c r="F202" s="29"/>
      <c r="G202" s="182">
        <f>G201/F201</f>
        <v>0.99778375364236838</v>
      </c>
    </row>
    <row r="203" spans="5:14" ht="15.75" x14ac:dyDescent="0.25">
      <c r="E203" s="28"/>
      <c r="F203" s="29"/>
      <c r="G203" s="115"/>
    </row>
    <row r="204" spans="5:14" ht="15.75" x14ac:dyDescent="0.25">
      <c r="E204" s="243" t="s">
        <v>214</v>
      </c>
      <c r="F204" s="243"/>
      <c r="G204" s="243"/>
      <c r="H204" s="243"/>
    </row>
    <row r="205" spans="5:14" ht="47.25" x14ac:dyDescent="0.25">
      <c r="E205" s="18" t="s">
        <v>213</v>
      </c>
      <c r="F205" s="18" t="s">
        <v>39</v>
      </c>
      <c r="G205" s="32" t="s">
        <v>114</v>
      </c>
      <c r="H205" s="31" t="s">
        <v>94</v>
      </c>
    </row>
    <row r="206" spans="5:14" ht="15.75" x14ac:dyDescent="0.25">
      <c r="E206" s="98" t="s">
        <v>95</v>
      </c>
      <c r="F206" s="9">
        <f>F200</f>
        <v>18744949133</v>
      </c>
      <c r="G206" s="226">
        <f>G194+N192</f>
        <v>18703405707.759998</v>
      </c>
      <c r="H206" s="117">
        <f>+F206-G206</f>
        <v>41543425.240001678</v>
      </c>
    </row>
    <row r="207" spans="5:14" ht="15.75" x14ac:dyDescent="0.25">
      <c r="E207" s="12" t="s">
        <v>19</v>
      </c>
      <c r="F207" s="13">
        <f>SUM(F206:F206)</f>
        <v>18744949133</v>
      </c>
      <c r="G207" s="42">
        <f>SUM(G206:G206)</f>
        <v>18703405707.759998</v>
      </c>
      <c r="H207" s="42">
        <f>SUM(H206:H206)</f>
        <v>41543425.240001678</v>
      </c>
    </row>
    <row r="208" spans="5:14" ht="15.75" x14ac:dyDescent="0.25">
      <c r="E208" s="28" t="s">
        <v>20</v>
      </c>
      <c r="F208" s="29"/>
      <c r="G208" s="182">
        <f>G207/F207</f>
        <v>0.99778375364236838</v>
      </c>
      <c r="M208">
        <v>1102005</v>
      </c>
    </row>
    <row r="209" spans="5:13" ht="15.75" x14ac:dyDescent="0.25">
      <c r="E209" s="28"/>
      <c r="F209" s="29"/>
      <c r="G209" s="115"/>
      <c r="M209">
        <v>686433832</v>
      </c>
    </row>
    <row r="210" spans="5:13" ht="15.75" x14ac:dyDescent="0.25">
      <c r="E210" s="102" t="s">
        <v>215</v>
      </c>
      <c r="F210" s="29" t="s">
        <v>216</v>
      </c>
      <c r="G210" s="30"/>
      <c r="H210" s="103">
        <f>+H211+H212</f>
        <v>0</v>
      </c>
      <c r="M210">
        <v>122429</v>
      </c>
    </row>
    <row r="211" spans="5:13" ht="15.75" x14ac:dyDescent="0.25">
      <c r="E211" s="102"/>
      <c r="F211" s="29"/>
      <c r="G211" s="30"/>
      <c r="H211" s="103"/>
      <c r="M211">
        <v>413253</v>
      </c>
    </row>
    <row r="212" spans="5:13" ht="15.75" x14ac:dyDescent="0.25">
      <c r="E212" s="118"/>
      <c r="F212" s="29"/>
      <c r="G212" s="33"/>
      <c r="H212" s="181"/>
      <c r="I212" s="120"/>
      <c r="L212" s="208"/>
      <c r="M212">
        <v>1916540</v>
      </c>
    </row>
    <row r="213" spans="5:13" ht="15.75" x14ac:dyDescent="0.25">
      <c r="E213" s="118"/>
      <c r="I213" s="36"/>
      <c r="M213">
        <v>460312</v>
      </c>
    </row>
    <row r="214" spans="5:13" ht="15.75" x14ac:dyDescent="0.25">
      <c r="E214" s="118"/>
      <c r="F214" s="119"/>
      <c r="G214" s="33"/>
      <c r="H214" s="36"/>
      <c r="I214" s="36"/>
    </row>
    <row r="215" spans="5:13" ht="15.75" x14ac:dyDescent="0.25">
      <c r="E215" s="118"/>
      <c r="F215" s="119"/>
      <c r="G215" s="33"/>
      <c r="H215" s="36"/>
      <c r="I215" s="36"/>
    </row>
    <row r="216" spans="5:13" ht="15.75" x14ac:dyDescent="0.25">
      <c r="E216" s="243" t="s">
        <v>176</v>
      </c>
      <c r="F216" s="243"/>
      <c r="G216" s="243"/>
      <c r="H216" s="243"/>
      <c r="I216" s="36"/>
    </row>
    <row r="217" spans="5:13" ht="47.25" x14ac:dyDescent="0.25">
      <c r="E217" s="18" t="s">
        <v>213</v>
      </c>
      <c r="F217" s="18" t="s">
        <v>39</v>
      </c>
      <c r="G217" s="32" t="s">
        <v>114</v>
      </c>
      <c r="H217" s="31" t="s">
        <v>118</v>
      </c>
      <c r="I217" s="36"/>
    </row>
    <row r="218" spans="5:13" ht="15.75" x14ac:dyDescent="0.25">
      <c r="E218" s="98" t="s">
        <v>95</v>
      </c>
      <c r="F218" s="9">
        <f>+F200</f>
        <v>18744949133</v>
      </c>
      <c r="G218" s="226">
        <f>G194+N192+H210</f>
        <v>18703405707.759998</v>
      </c>
      <c r="H218" s="117">
        <f>G218-F218</f>
        <v>-41543425.240001678</v>
      </c>
      <c r="I218" s="36"/>
    </row>
    <row r="219" spans="5:13" ht="15.75" x14ac:dyDescent="0.25">
      <c r="E219" s="12" t="s">
        <v>19</v>
      </c>
      <c r="F219" s="13">
        <f>SUM(F218:F218)</f>
        <v>18744949133</v>
      </c>
      <c r="G219" s="42">
        <f>SUM(G218:G218)</f>
        <v>18703405707.759998</v>
      </c>
      <c r="H219" s="42">
        <f>SUM(H218:H218)</f>
        <v>-41543425.240001678</v>
      </c>
      <c r="I219" s="36"/>
    </row>
    <row r="220" spans="5:13" ht="15.75" x14ac:dyDescent="0.25">
      <c r="E220" s="221" t="s">
        <v>20</v>
      </c>
      <c r="F220" s="219"/>
      <c r="G220" s="230">
        <f>G219/F219</f>
        <v>0.99778375364236838</v>
      </c>
      <c r="H220" s="222"/>
      <c r="I220" s="36"/>
    </row>
    <row r="221" spans="5:13" ht="15.75" x14ac:dyDescent="0.25">
      <c r="E221" s="221"/>
      <c r="F221" s="219"/>
      <c r="G221" s="220"/>
      <c r="H221" s="222"/>
      <c r="I221" s="36"/>
    </row>
    <row r="222" spans="5:13" ht="15.75" x14ac:dyDescent="0.25">
      <c r="E222" s="223" t="s">
        <v>215</v>
      </c>
      <c r="F222" s="219" t="s">
        <v>216</v>
      </c>
      <c r="G222" s="220"/>
      <c r="H222" s="222"/>
      <c r="I222" s="36"/>
    </row>
    <row r="223" spans="5:13" ht="15.75" x14ac:dyDescent="0.25">
      <c r="E223" s="223"/>
      <c r="F223" s="219" t="s">
        <v>217</v>
      </c>
      <c r="G223" s="220"/>
      <c r="H223" s="218">
        <v>686433832</v>
      </c>
      <c r="I223" s="36"/>
      <c r="J223">
        <f>+H223</f>
        <v>686433832</v>
      </c>
      <c r="K223">
        <v>4954925678</v>
      </c>
      <c r="L223">
        <f>+J223-K223</f>
        <v>-4268491846</v>
      </c>
    </row>
    <row r="224" spans="5:13" ht="15.75" x14ac:dyDescent="0.25">
      <c r="E224" s="223"/>
      <c r="F224" s="219" t="s">
        <v>238</v>
      </c>
      <c r="G224" s="220"/>
      <c r="H224" s="218">
        <v>1102005</v>
      </c>
      <c r="I224" s="36"/>
    </row>
    <row r="225" spans="5:9" ht="15.75" x14ac:dyDescent="0.25">
      <c r="E225" s="223"/>
      <c r="F225" s="219" t="s">
        <v>239</v>
      </c>
      <c r="G225" s="220"/>
      <c r="H225" s="218">
        <v>122429</v>
      </c>
      <c r="I225" s="36"/>
    </row>
    <row r="226" spans="5:9" ht="15.75" x14ac:dyDescent="0.25">
      <c r="E226" s="223"/>
      <c r="F226" s="219" t="s">
        <v>240</v>
      </c>
      <c r="G226" s="220"/>
      <c r="H226" s="218">
        <v>413253</v>
      </c>
      <c r="I226" s="36"/>
    </row>
    <row r="227" spans="5:9" ht="15.75" x14ac:dyDescent="0.25">
      <c r="E227" s="223"/>
      <c r="F227" s="219" t="s">
        <v>241</v>
      </c>
      <c r="G227" s="220"/>
      <c r="H227" s="218">
        <v>1916540</v>
      </c>
      <c r="I227" s="36"/>
    </row>
    <row r="228" spans="5:9" ht="15.75" x14ac:dyDescent="0.25">
      <c r="E228" s="223"/>
      <c r="F228" s="219" t="s">
        <v>242</v>
      </c>
      <c r="G228" s="220"/>
      <c r="H228" s="218">
        <v>460312</v>
      </c>
      <c r="I228" s="36"/>
    </row>
    <row r="229" spans="5:9" ht="15.75" x14ac:dyDescent="0.25">
      <c r="E229" s="223"/>
      <c r="F229" s="219" t="s">
        <v>243</v>
      </c>
      <c r="G229" s="220"/>
      <c r="H229" s="218">
        <v>3475540</v>
      </c>
      <c r="I229" s="36"/>
    </row>
    <row r="230" spans="5:9" ht="15.75" x14ac:dyDescent="0.25">
      <c r="E230" s="221"/>
      <c r="F230" s="219"/>
      <c r="G230" s="220"/>
      <c r="H230" s="227">
        <f>SUM(H223:H229)</f>
        <v>693923911</v>
      </c>
      <c r="I230" s="36"/>
    </row>
    <row r="231" spans="5:9" ht="15.75" x14ac:dyDescent="0.25">
      <c r="E231" s="118"/>
      <c r="F231" s="119"/>
      <c r="G231" s="33"/>
      <c r="H231" s="36"/>
      <c r="I231" s="36"/>
    </row>
    <row r="232" spans="5:9" ht="15.75" x14ac:dyDescent="0.25">
      <c r="E232" s="243" t="s">
        <v>218</v>
      </c>
      <c r="F232" s="243"/>
      <c r="G232" s="243"/>
      <c r="H232" s="243"/>
      <c r="I232" s="36"/>
    </row>
    <row r="233" spans="5:9" ht="47.25" x14ac:dyDescent="0.25">
      <c r="E233" s="18" t="s">
        <v>213</v>
      </c>
      <c r="F233" s="18" t="s">
        <v>39</v>
      </c>
      <c r="G233" s="32" t="s">
        <v>114</v>
      </c>
      <c r="H233" s="31" t="s">
        <v>118</v>
      </c>
      <c r="I233" s="36"/>
    </row>
    <row r="234" spans="5:9" ht="15.75" x14ac:dyDescent="0.25">
      <c r="E234" s="98" t="s">
        <v>95</v>
      </c>
      <c r="F234" s="9">
        <f>F218</f>
        <v>18744949133</v>
      </c>
      <c r="G234" s="116">
        <f>G218+H223</f>
        <v>19389839539.759998</v>
      </c>
      <c r="H234" s="117">
        <f>G234-F234</f>
        <v>644890406.75999832</v>
      </c>
      <c r="I234" s="36"/>
    </row>
    <row r="235" spans="5:9" ht="15.75" x14ac:dyDescent="0.25">
      <c r="E235" s="12" t="s">
        <v>19</v>
      </c>
      <c r="F235" s="13">
        <f>SUM(F234:F234)</f>
        <v>18744949133</v>
      </c>
      <c r="G235" s="42">
        <f>SUM(G234:G234)</f>
        <v>19389839539.759998</v>
      </c>
      <c r="H235" s="42">
        <f>SUM(H234:H234)</f>
        <v>644890406.75999832</v>
      </c>
      <c r="I235" s="36"/>
    </row>
    <row r="236" spans="5:9" ht="15.75" x14ac:dyDescent="0.25">
      <c r="E236" s="28" t="s">
        <v>20</v>
      </c>
      <c r="F236" s="29"/>
      <c r="G236" s="182">
        <f>G235/F235</f>
        <v>1.0344034226065029</v>
      </c>
      <c r="I236" s="36"/>
    </row>
    <row r="237" spans="5:9" x14ac:dyDescent="0.25">
      <c r="E237" t="s">
        <v>119</v>
      </c>
      <c r="F237" s="27" t="e">
        <f>#REF!+#REF!</f>
        <v>#REF!</v>
      </c>
    </row>
    <row r="238" spans="5:9" x14ac:dyDescent="0.25">
      <c r="F238" s="27" t="e">
        <f>#REF!+#REF!</f>
        <v>#REF!</v>
      </c>
      <c r="G238" s="27" t="e">
        <f>F237+F238</f>
        <v>#REF!</v>
      </c>
    </row>
    <row r="239" spans="5:9" x14ac:dyDescent="0.25">
      <c r="F239" s="27"/>
      <c r="G239" s="27"/>
    </row>
    <row r="240" spans="5:9" ht="15.75" thickBot="1" x14ac:dyDescent="0.3">
      <c r="F240" s="27"/>
      <c r="G240" s="27"/>
    </row>
    <row r="241" spans="5:10" ht="48" thickTop="1" x14ac:dyDescent="0.25">
      <c r="E241" s="121" t="s">
        <v>120</v>
      </c>
      <c r="F241" s="122" t="s">
        <v>121</v>
      </c>
      <c r="G241" s="122" t="s">
        <v>122</v>
      </c>
    </row>
    <row r="242" spans="5:10" ht="18.75" thickBot="1" x14ac:dyDescent="0.3">
      <c r="E242" s="123">
        <f>G200</f>
        <v>18703405707.759998</v>
      </c>
      <c r="F242" s="124">
        <f>H57+H59</f>
        <v>17338046818.290001</v>
      </c>
      <c r="G242" s="124">
        <f>E242-F242</f>
        <v>1365358889.4699974</v>
      </c>
      <c r="H242" s="112">
        <v>1363264244</v>
      </c>
      <c r="I242" s="125">
        <f>G242-H242</f>
        <v>2094645.469997406</v>
      </c>
      <c r="J242" t="s">
        <v>123</v>
      </c>
    </row>
    <row r="243" spans="5:10" ht="19.5" thickTop="1" x14ac:dyDescent="0.3">
      <c r="E243" s="126" t="s">
        <v>124</v>
      </c>
      <c r="F243" s="127">
        <f>F242/E242</f>
        <v>0.92699945075224921</v>
      </c>
      <c r="G243" s="127">
        <f>G242/E242</f>
        <v>7.3000549247750818E-2</v>
      </c>
    </row>
    <row r="244" spans="5:10" ht="18.75" x14ac:dyDescent="0.3">
      <c r="E244" s="126"/>
      <c r="F244" s="127"/>
      <c r="G244" s="127"/>
    </row>
    <row r="245" spans="5:10" ht="18.75" x14ac:dyDescent="0.3">
      <c r="E245" s="126"/>
      <c r="F245" s="127"/>
      <c r="G245" s="127"/>
    </row>
    <row r="246" spans="5:10" ht="18.75" x14ac:dyDescent="0.3">
      <c r="E246" s="126"/>
      <c r="F246" s="127"/>
      <c r="G246" s="127"/>
    </row>
    <row r="247" spans="5:10" ht="18.75" x14ac:dyDescent="0.3">
      <c r="E247" s="126"/>
      <c r="F247" s="127"/>
      <c r="G247" s="127"/>
    </row>
    <row r="249" spans="5:10" ht="15.75" x14ac:dyDescent="0.25">
      <c r="E249" s="28"/>
      <c r="F249" s="29"/>
      <c r="G249" s="30"/>
    </row>
    <row r="250" spans="5:10" ht="47.25" x14ac:dyDescent="0.25">
      <c r="E250" s="1" t="s">
        <v>125</v>
      </c>
      <c r="F250" s="4" t="s">
        <v>39</v>
      </c>
      <c r="G250" s="31" t="s">
        <v>126</v>
      </c>
      <c r="H250" s="128" t="s">
        <v>127</v>
      </c>
    </row>
    <row r="251" spans="5:10" ht="15.75" x14ac:dyDescent="0.25">
      <c r="E251" s="8" t="s">
        <v>128</v>
      </c>
      <c r="F251" s="9">
        <f>F194</f>
        <v>18744949133</v>
      </c>
      <c r="G251" s="9">
        <f>F242</f>
        <v>17338046818.290001</v>
      </c>
      <c r="H251" s="129">
        <f>F176-F242</f>
        <v>-3268991409.2900009</v>
      </c>
    </row>
    <row r="252" spans="5:10" ht="15.75" x14ac:dyDescent="0.25">
      <c r="E252" s="12" t="s">
        <v>19</v>
      </c>
      <c r="F252" s="13">
        <f>SUM(F251:F251)</f>
        <v>18744949133</v>
      </c>
      <c r="G252" s="42">
        <f>SUM(G251:G251)</f>
        <v>17338046818.290001</v>
      </c>
      <c r="H252" s="130">
        <f>SUM(H251:H251)</f>
        <v>-3268991409.2900009</v>
      </c>
    </row>
    <row r="253" spans="5:10" ht="18.75" x14ac:dyDescent="0.3">
      <c r="E253" s="28" t="s">
        <v>20</v>
      </c>
      <c r="F253" s="29"/>
      <c r="G253" s="30">
        <f>G252/F252</f>
        <v>0.92494499159599297</v>
      </c>
      <c r="H253" s="127">
        <f>H251/F252</f>
        <v>-0.17439318645762691</v>
      </c>
    </row>
    <row r="256" spans="5:10" ht="30" x14ac:dyDescent="0.25">
      <c r="E256" s="131" t="s">
        <v>90</v>
      </c>
      <c r="F256" s="131" t="s">
        <v>129</v>
      </c>
      <c r="G256" s="131" t="s">
        <v>130</v>
      </c>
      <c r="H256" s="131" t="s">
        <v>131</v>
      </c>
      <c r="I256" s="132" t="s">
        <v>132</v>
      </c>
      <c r="J256" s="132" t="s">
        <v>133</v>
      </c>
    </row>
    <row r="257" spans="5:10" x14ac:dyDescent="0.25">
      <c r="E257" s="133" t="s">
        <v>134</v>
      </c>
      <c r="F257" s="134">
        <v>843614999</v>
      </c>
      <c r="G257" s="134">
        <v>57659725</v>
      </c>
      <c r="H257" s="134">
        <f>SUM(F257:G257)</f>
        <v>901274724</v>
      </c>
      <c r="I257" s="135">
        <v>43648500</v>
      </c>
      <c r="J257" s="134">
        <f>H257-I257</f>
        <v>857626224</v>
      </c>
    </row>
    <row r="258" spans="5:10" x14ac:dyDescent="0.25">
      <c r="E258" s="133" t="s">
        <v>135</v>
      </c>
      <c r="F258" s="134">
        <v>3282872918</v>
      </c>
      <c r="G258" s="134">
        <v>1616749968</v>
      </c>
      <c r="H258" s="134">
        <f>SUM(F258:G258)</f>
        <v>4899622886</v>
      </c>
      <c r="I258" s="136">
        <v>999053566</v>
      </c>
      <c r="J258" s="134">
        <f>H258-I258</f>
        <v>3900569320</v>
      </c>
    </row>
    <row r="259" spans="5:10" x14ac:dyDescent="0.25">
      <c r="E259" s="137" t="s">
        <v>25</v>
      </c>
      <c r="F259" s="138">
        <f>SUM(F257:F258)</f>
        <v>4126487917</v>
      </c>
      <c r="G259" s="138">
        <f>SUM(G257:G258)</f>
        <v>1674409693</v>
      </c>
      <c r="H259" s="138">
        <f>SUM(H257:H258)</f>
        <v>5800897610</v>
      </c>
      <c r="I259" s="138">
        <f>SUM(I257:I258)</f>
        <v>1042702066</v>
      </c>
      <c r="J259" s="138">
        <f>SUM(J257:J258)</f>
        <v>4758195544</v>
      </c>
    </row>
    <row r="260" spans="5:10" x14ac:dyDescent="0.25">
      <c r="E260" s="139" t="s">
        <v>136</v>
      </c>
      <c r="F260" s="140">
        <f>F259+G259</f>
        <v>5800897610</v>
      </c>
      <c r="G260" s="112"/>
    </row>
    <row r="261" spans="5:10" x14ac:dyDescent="0.25">
      <c r="E261" s="139"/>
      <c r="F261" s="112"/>
      <c r="G261" s="112"/>
    </row>
    <row r="262" spans="5:10" x14ac:dyDescent="0.25">
      <c r="E262" s="131" t="s">
        <v>137</v>
      </c>
      <c r="F262" s="141" t="s">
        <v>129</v>
      </c>
      <c r="G262" s="141" t="s">
        <v>130</v>
      </c>
      <c r="H262" s="131" t="s">
        <v>25</v>
      </c>
    </row>
    <row r="263" spans="5:10" x14ac:dyDescent="0.25">
      <c r="E263" s="133" t="s">
        <v>134</v>
      </c>
      <c r="F263" s="134">
        <v>0</v>
      </c>
      <c r="G263" s="134">
        <v>130146400</v>
      </c>
      <c r="H263" s="134">
        <f>SUM(F263:G263)</f>
        <v>130146400</v>
      </c>
      <c r="I263" s="136">
        <v>43648500</v>
      </c>
      <c r="J263" s="112">
        <f>H263+I263</f>
        <v>173794900</v>
      </c>
    </row>
    <row r="264" spans="5:10" x14ac:dyDescent="0.25">
      <c r="E264" s="133" t="s">
        <v>135</v>
      </c>
      <c r="F264" s="134">
        <v>19330328</v>
      </c>
      <c r="G264" s="134">
        <v>83731700</v>
      </c>
      <c r="H264" s="134">
        <f>SUM(F264:G264)</f>
        <v>103062028</v>
      </c>
      <c r="I264" s="136">
        <v>999053566</v>
      </c>
      <c r="J264" s="112">
        <f>H264+I264</f>
        <v>1102115594</v>
      </c>
    </row>
    <row r="265" spans="5:10" x14ac:dyDescent="0.25">
      <c r="E265" s="137" t="s">
        <v>25</v>
      </c>
      <c r="F265" s="138">
        <f>F264</f>
        <v>19330328</v>
      </c>
      <c r="G265" s="138">
        <f>SUM(G263:G264)</f>
        <v>213878100</v>
      </c>
      <c r="H265" s="138">
        <f>SUM(H263:H264)</f>
        <v>233208428</v>
      </c>
    </row>
    <row r="266" spans="5:10" x14ac:dyDescent="0.25">
      <c r="E266" s="139" t="s">
        <v>138</v>
      </c>
      <c r="F266" s="140"/>
      <c r="G266" s="112"/>
    </row>
    <row r="268" spans="5:10" x14ac:dyDescent="0.25">
      <c r="E268" s="142" t="s">
        <v>139</v>
      </c>
      <c r="F268" s="143">
        <v>5800897610</v>
      </c>
      <c r="G268" t="s">
        <v>84</v>
      </c>
      <c r="H268" t="s">
        <v>85</v>
      </c>
    </row>
    <row r="269" spans="5:10" x14ac:dyDescent="0.25">
      <c r="E269" s="142" t="s">
        <v>140</v>
      </c>
      <c r="F269" s="143">
        <v>1042702066</v>
      </c>
      <c r="G269" s="112">
        <v>43648500</v>
      </c>
      <c r="H269" s="112">
        <v>999053566</v>
      </c>
      <c r="I269" s="112">
        <f>G269+H269</f>
        <v>1042702066</v>
      </c>
      <c r="J269" s="112">
        <f>F269-I269</f>
        <v>0</v>
      </c>
    </row>
    <row r="270" spans="5:10" x14ac:dyDescent="0.25">
      <c r="E270" s="142" t="s">
        <v>141</v>
      </c>
      <c r="F270" s="143">
        <v>4758195544</v>
      </c>
    </row>
    <row r="272" spans="5:10" x14ac:dyDescent="0.25">
      <c r="E272" s="131" t="s">
        <v>142</v>
      </c>
      <c r="F272" s="141" t="s">
        <v>129</v>
      </c>
      <c r="G272" s="141" t="s">
        <v>130</v>
      </c>
      <c r="H272" s="131" t="s">
        <v>25</v>
      </c>
    </row>
    <row r="273" spans="5:9" x14ac:dyDescent="0.25">
      <c r="E273" s="133" t="s">
        <v>134</v>
      </c>
      <c r="F273" s="134">
        <v>0</v>
      </c>
      <c r="G273" s="134">
        <v>130146400</v>
      </c>
      <c r="H273" s="134">
        <f>SUM(F273:G273)</f>
        <v>130146400</v>
      </c>
    </row>
    <row r="274" spans="5:9" x14ac:dyDescent="0.25">
      <c r="E274" s="133" t="s">
        <v>135</v>
      </c>
      <c r="F274" s="134">
        <v>19330328</v>
      </c>
      <c r="G274" s="134">
        <v>83731700</v>
      </c>
      <c r="H274" s="134">
        <f>SUM(F274:G274)</f>
        <v>103062028</v>
      </c>
    </row>
    <row r="275" spans="5:9" x14ac:dyDescent="0.25">
      <c r="E275" s="137" t="s">
        <v>25</v>
      </c>
      <c r="F275" s="138">
        <f>F274</f>
        <v>19330328</v>
      </c>
      <c r="G275" s="138">
        <f>SUM(G273:G274)</f>
        <v>213878100</v>
      </c>
      <c r="H275" s="138">
        <f>SUM(H273:H274)</f>
        <v>233208428</v>
      </c>
    </row>
    <row r="277" spans="5:9" x14ac:dyDescent="0.25">
      <c r="E277" s="131" t="s">
        <v>143</v>
      </c>
      <c r="F277" s="141" t="s">
        <v>129</v>
      </c>
      <c r="G277" s="141" t="s">
        <v>130</v>
      </c>
    </row>
    <row r="278" spans="5:9" x14ac:dyDescent="0.25">
      <c r="E278" t="s">
        <v>144</v>
      </c>
      <c r="F278" s="112">
        <f>F257+F263</f>
        <v>843614999</v>
      </c>
      <c r="G278" s="112">
        <f>G257+G263</f>
        <v>187806125</v>
      </c>
    </row>
    <row r="279" spans="5:9" x14ac:dyDescent="0.25">
      <c r="E279" t="s">
        <v>145</v>
      </c>
      <c r="F279" s="112">
        <f>F258+F264</f>
        <v>3302203246</v>
      </c>
      <c r="G279" s="112">
        <f>G258+G264</f>
        <v>1700481668</v>
      </c>
    </row>
    <row r="280" spans="5:9" x14ac:dyDescent="0.25">
      <c r="E280" t="s">
        <v>25</v>
      </c>
      <c r="F280" s="112">
        <f>SUM(F278:F279)</f>
        <v>4145818245</v>
      </c>
      <c r="G280" s="112">
        <f>SUM(G278:G279)</f>
        <v>1888287793</v>
      </c>
    </row>
    <row r="284" spans="5:9" ht="18" x14ac:dyDescent="0.25">
      <c r="E284" s="144" t="s">
        <v>146</v>
      </c>
      <c r="F284" s="145" t="s">
        <v>147</v>
      </c>
      <c r="G284" s="146" t="s">
        <v>148</v>
      </c>
      <c r="H284" s="146" t="s">
        <v>149</v>
      </c>
      <c r="I284" s="146" t="s">
        <v>150</v>
      </c>
    </row>
    <row r="285" spans="5:9" x14ac:dyDescent="0.25">
      <c r="E285" s="147" t="s">
        <v>151</v>
      </c>
      <c r="F285" s="148">
        <v>14069055409</v>
      </c>
      <c r="G285" s="148">
        <f>SUM(G286+G287)</f>
        <v>6831780263</v>
      </c>
      <c r="H285" s="148">
        <f>H286+H287</f>
        <v>7237275146</v>
      </c>
      <c r="I285" s="149">
        <f>+G285/F285</f>
        <v>0.48558912196974491</v>
      </c>
    </row>
    <row r="286" spans="5:9" x14ac:dyDescent="0.25">
      <c r="E286" s="147" t="s">
        <v>152</v>
      </c>
      <c r="F286" s="148">
        <v>11455255409</v>
      </c>
      <c r="G286" s="148">
        <v>4217974942</v>
      </c>
      <c r="H286" s="148">
        <f>F286-G286</f>
        <v>7237280467</v>
      </c>
      <c r="I286" s="149">
        <f>+G286/F286</f>
        <v>0.36821308573234274</v>
      </c>
    </row>
    <row r="287" spans="5:9" x14ac:dyDescent="0.25">
      <c r="E287" s="147" t="s">
        <v>153</v>
      </c>
      <c r="F287" s="148">
        <v>2613800000</v>
      </c>
      <c r="G287" s="148">
        <v>2613805321</v>
      </c>
      <c r="H287" s="148">
        <f>F287-G287</f>
        <v>-5321</v>
      </c>
      <c r="I287" s="149">
        <f>+G287/F287</f>
        <v>1.000002035733415</v>
      </c>
    </row>
    <row r="290" spans="5:6" x14ac:dyDescent="0.25">
      <c r="E290" s="150" t="s">
        <v>22</v>
      </c>
      <c r="F290" s="151" t="s">
        <v>154</v>
      </c>
    </row>
    <row r="291" spans="5:6" x14ac:dyDescent="0.25">
      <c r="E291" s="152" t="s">
        <v>155</v>
      </c>
      <c r="F291" s="153">
        <v>14069055409</v>
      </c>
    </row>
    <row r="292" spans="5:6" x14ac:dyDescent="0.25">
      <c r="E292" s="152" t="s">
        <v>152</v>
      </c>
      <c r="F292" s="154">
        <v>6317665849</v>
      </c>
    </row>
    <row r="293" spans="5:6" x14ac:dyDescent="0.25">
      <c r="E293" s="152" t="s">
        <v>153</v>
      </c>
      <c r="F293" s="154">
        <v>2613806085.4499998</v>
      </c>
    </row>
    <row r="294" spans="5:6" x14ac:dyDescent="0.25">
      <c r="E294" s="155" t="s">
        <v>156</v>
      </c>
      <c r="F294" s="156">
        <f>+F292+F293</f>
        <v>8931471934.4500008</v>
      </c>
    </row>
    <row r="295" spans="5:6" x14ac:dyDescent="0.25">
      <c r="E295" s="152" t="s">
        <v>157</v>
      </c>
      <c r="F295" s="157">
        <f>+F291-F294</f>
        <v>5137583474.5499992</v>
      </c>
    </row>
    <row r="296" spans="5:6" x14ac:dyDescent="0.25">
      <c r="E296" s="152" t="s">
        <v>158</v>
      </c>
      <c r="F296" s="158">
        <f>+F295/F291</f>
        <v>0.36516904121818144</v>
      </c>
    </row>
    <row r="297" spans="5:6" x14ac:dyDescent="0.25">
      <c r="E297" s="159"/>
      <c r="F297" s="160"/>
    </row>
    <row r="298" spans="5:6" x14ac:dyDescent="0.25">
      <c r="E298" s="5" t="s">
        <v>159</v>
      </c>
      <c r="F298" s="161">
        <f>+F294/F291</f>
        <v>0.63483095878181861</v>
      </c>
    </row>
    <row r="306" spans="5:9" ht="15.75" thickBot="1" x14ac:dyDescent="0.3"/>
    <row r="307" spans="5:9" ht="16.5" thickBot="1" x14ac:dyDescent="0.3">
      <c r="E307" s="162" t="s">
        <v>160</v>
      </c>
      <c r="F307" s="162" t="s">
        <v>85</v>
      </c>
      <c r="G307" s="162" t="s">
        <v>84</v>
      </c>
      <c r="I307" s="163"/>
    </row>
    <row r="308" spans="5:9" ht="15.75" thickBot="1" x14ac:dyDescent="0.3">
      <c r="E308" s="164">
        <f>F308+G308</f>
        <v>31137602689</v>
      </c>
      <c r="F308" s="164">
        <v>9527878647</v>
      </c>
      <c r="G308" s="164">
        <v>21609724042</v>
      </c>
      <c r="I308" s="165"/>
    </row>
    <row r="309" spans="5:9" ht="15.75" thickBot="1" x14ac:dyDescent="0.3">
      <c r="E309" s="166" t="s">
        <v>161</v>
      </c>
      <c r="F309" s="164">
        <f>F308*15%</f>
        <v>1429181797.05</v>
      </c>
      <c r="G309" s="164">
        <f>G308*2%</f>
        <v>432194480.84000003</v>
      </c>
      <c r="H309" s="15">
        <f>SUM(F309:G309)</f>
        <v>1861376277.8899999</v>
      </c>
      <c r="I309" s="167"/>
    </row>
    <row r="310" spans="5:9" ht="15.75" thickBot="1" x14ac:dyDescent="0.3">
      <c r="E310" s="168"/>
      <c r="F310" s="164"/>
      <c r="G310" s="164"/>
      <c r="I310" s="167"/>
    </row>
    <row r="311" spans="5:9" ht="32.25" thickBot="1" x14ac:dyDescent="0.3">
      <c r="E311" s="169" t="s">
        <v>162</v>
      </c>
      <c r="F311" s="162" t="s">
        <v>85</v>
      </c>
      <c r="G311" s="162" t="s">
        <v>84</v>
      </c>
      <c r="H311" s="162" t="s">
        <v>25</v>
      </c>
      <c r="I311" s="169" t="s">
        <v>163</v>
      </c>
    </row>
    <row r="312" spans="5:9" ht="16.5" thickBot="1" x14ac:dyDescent="0.3">
      <c r="E312" s="170" t="s">
        <v>164</v>
      </c>
      <c r="F312" s="171">
        <f>4899622886-999053566</f>
        <v>3900569320</v>
      </c>
      <c r="G312" s="171">
        <f>901274724-43648500</f>
        <v>857626224</v>
      </c>
      <c r="H312" s="171">
        <f>F312+G312</f>
        <v>4758195544</v>
      </c>
      <c r="I312" s="172">
        <f>H312</f>
        <v>4758195544</v>
      </c>
    </row>
    <row r="313" spans="5:9" ht="16.5" thickBot="1" x14ac:dyDescent="0.3">
      <c r="E313" s="170" t="s">
        <v>165</v>
      </c>
      <c r="F313" s="173">
        <f>F312/F308</f>
        <v>0.40938486566767457</v>
      </c>
      <c r="G313" s="173">
        <f>G312/G308</f>
        <v>3.9687051178124433E-2</v>
      </c>
      <c r="H313" s="173">
        <f>H312/E308</f>
        <v>0.15281187802171201</v>
      </c>
      <c r="I313" s="173">
        <f>I312/H312</f>
        <v>1</v>
      </c>
    </row>
    <row r="314" spans="5:9" ht="16.5" thickBot="1" x14ac:dyDescent="0.3">
      <c r="E314" s="170" t="s">
        <v>166</v>
      </c>
      <c r="F314" s="174">
        <f>F309-F312</f>
        <v>-2471387522.9499998</v>
      </c>
      <c r="G314" s="174">
        <f>G309-G312</f>
        <v>-425431743.15999997</v>
      </c>
      <c r="H314" s="174">
        <f>H309-H312</f>
        <v>-2896819266.1100001</v>
      </c>
      <c r="I314" s="173"/>
    </row>
    <row r="315" spans="5:9" ht="32.25" thickBot="1" x14ac:dyDescent="0.3">
      <c r="E315" s="175" t="s">
        <v>167</v>
      </c>
      <c r="F315" s="176" t="s">
        <v>85</v>
      </c>
      <c r="G315" s="176" t="s">
        <v>84</v>
      </c>
      <c r="H315" s="176" t="s">
        <v>25</v>
      </c>
      <c r="I315" s="175" t="s">
        <v>168</v>
      </c>
    </row>
    <row r="316" spans="5:9" ht="16.5" thickBot="1" x14ac:dyDescent="0.3">
      <c r="E316" s="170" t="s">
        <v>169</v>
      </c>
      <c r="F316" s="171">
        <f>103062128+999053566</f>
        <v>1102115694</v>
      </c>
      <c r="G316" s="171">
        <f>130146400+43648500</f>
        <v>173794900</v>
      </c>
      <c r="H316" s="171">
        <f>F316+G316</f>
        <v>1275910594</v>
      </c>
      <c r="I316" s="172">
        <f>H316</f>
        <v>1275910594</v>
      </c>
    </row>
    <row r="317" spans="5:9" ht="32.25" thickBot="1" x14ac:dyDescent="0.3">
      <c r="E317" s="170" t="s">
        <v>170</v>
      </c>
      <c r="F317" s="173">
        <f>F316/F308</f>
        <v>0.11567272578004739</v>
      </c>
      <c r="G317" s="173">
        <f>G316/G308</f>
        <v>8.0424395823943673E-3</v>
      </c>
      <c r="H317" s="173">
        <f>H316/E308</f>
        <v>4.0976519828571832E-2</v>
      </c>
      <c r="I317" s="173">
        <f>I316/H316</f>
        <v>1</v>
      </c>
    </row>
    <row r="325" spans="5:9" ht="15.75" x14ac:dyDescent="0.25">
      <c r="E325" s="246" t="s">
        <v>171</v>
      </c>
      <c r="F325" s="247"/>
      <c r="G325" s="247"/>
      <c r="H325" s="248"/>
    </row>
    <row r="326" spans="5:9" ht="31.5" x14ac:dyDescent="0.25">
      <c r="E326" s="18" t="s">
        <v>22</v>
      </c>
      <c r="F326" s="3" t="s">
        <v>23</v>
      </c>
      <c r="G326" s="3" t="s">
        <v>24</v>
      </c>
      <c r="H326" s="18" t="s">
        <v>25</v>
      </c>
    </row>
    <row r="327" spans="5:9" ht="15.75" x14ac:dyDescent="0.25">
      <c r="E327" s="19" t="s">
        <v>26</v>
      </c>
      <c r="F327" s="20">
        <v>11301203537</v>
      </c>
      <c r="G327" s="20">
        <v>10272626016</v>
      </c>
      <c r="H327" s="20">
        <f>+F327+G327</f>
        <v>21573829553</v>
      </c>
    </row>
    <row r="328" spans="5:9" ht="15.75" x14ac:dyDescent="0.25">
      <c r="E328" s="19" t="s">
        <v>27</v>
      </c>
      <c r="F328" s="20">
        <v>2907398550</v>
      </c>
      <c r="G328" s="20">
        <v>5485201514</v>
      </c>
      <c r="H328" s="20">
        <f>+F328+G328</f>
        <v>8392600064</v>
      </c>
    </row>
    <row r="329" spans="5:9" ht="15.75" x14ac:dyDescent="0.25">
      <c r="E329" s="1" t="s">
        <v>19</v>
      </c>
      <c r="F329" s="21">
        <f>+F327+F328</f>
        <v>14208602087</v>
      </c>
      <c r="G329" s="21">
        <f>+G327+G328</f>
        <v>15757827530</v>
      </c>
      <c r="H329" s="21">
        <f>+H327+H328</f>
        <v>29966429617</v>
      </c>
    </row>
    <row r="332" spans="5:9" ht="15.75" x14ac:dyDescent="0.25">
      <c r="E332" s="240" t="s">
        <v>225</v>
      </c>
      <c r="F332" s="241"/>
      <c r="G332" s="241"/>
      <c r="H332" s="241"/>
      <c r="I332" s="242"/>
    </row>
    <row r="333" spans="5:9" ht="31.5" x14ac:dyDescent="0.25">
      <c r="E333" s="18" t="s">
        <v>172</v>
      </c>
      <c r="F333" s="3" t="s">
        <v>224</v>
      </c>
      <c r="G333" s="3" t="s">
        <v>219</v>
      </c>
      <c r="H333" s="3" t="s">
        <v>173</v>
      </c>
      <c r="I333" s="3" t="s">
        <v>174</v>
      </c>
    </row>
    <row r="334" spans="5:9" ht="15.75" x14ac:dyDescent="0.25">
      <c r="E334" s="19" t="s">
        <v>26</v>
      </c>
      <c r="F334" s="20">
        <v>16627017575</v>
      </c>
      <c r="G334" s="20">
        <v>20803947221</v>
      </c>
      <c r="H334" s="20">
        <f>+G334-F334</f>
        <v>4176929646</v>
      </c>
      <c r="I334" s="183">
        <f>+H334/G334</f>
        <v>0.20077582401207536</v>
      </c>
    </row>
    <row r="335" spans="5:9" ht="15.75" x14ac:dyDescent="0.25">
      <c r="E335" s="19" t="s">
        <v>27</v>
      </c>
      <c r="F335" s="20">
        <v>2717000000</v>
      </c>
      <c r="G335" s="20">
        <v>3401545370</v>
      </c>
      <c r="H335" s="20">
        <f>+G335-F335</f>
        <v>684545370</v>
      </c>
      <c r="I335" s="183">
        <f>+H335/G335</f>
        <v>0.20124540335030133</v>
      </c>
    </row>
    <row r="336" spans="5:9" ht="15.75" x14ac:dyDescent="0.25">
      <c r="E336" s="177" t="s">
        <v>19</v>
      </c>
      <c r="F336" s="21">
        <f>+F334+F335</f>
        <v>19344017575</v>
      </c>
      <c r="G336" s="21">
        <f>+G334+G335</f>
        <v>24205492591</v>
      </c>
      <c r="H336" s="21">
        <f>+H334+H335</f>
        <v>4861475016</v>
      </c>
      <c r="I336" s="178"/>
    </row>
    <row r="342" spans="5:9" ht="15.75" x14ac:dyDescent="0.25">
      <c r="E342" s="240" t="s">
        <v>225</v>
      </c>
      <c r="F342" s="241"/>
      <c r="G342" s="241"/>
      <c r="H342" s="241"/>
      <c r="I342" s="242"/>
    </row>
    <row r="343" spans="5:9" ht="31.5" x14ac:dyDescent="0.25">
      <c r="E343" s="18" t="s">
        <v>172</v>
      </c>
      <c r="F343" s="3" t="s">
        <v>226</v>
      </c>
      <c r="G343" s="3" t="s">
        <v>227</v>
      </c>
      <c r="H343" s="3" t="s">
        <v>173</v>
      </c>
      <c r="I343" s="3" t="s">
        <v>174</v>
      </c>
    </row>
    <row r="344" spans="5:9" ht="15.75" x14ac:dyDescent="0.25">
      <c r="E344" s="19" t="s">
        <v>26</v>
      </c>
      <c r="F344" s="20">
        <v>11117695055</v>
      </c>
      <c r="G344" s="20">
        <f>+F76</f>
        <v>13962423033</v>
      </c>
      <c r="H344" s="20">
        <f>+G344-F344</f>
        <v>2844727978</v>
      </c>
      <c r="I344" s="183">
        <f>+H344/G344</f>
        <v>0.20374171240024194</v>
      </c>
    </row>
    <row r="345" spans="5:9" ht="15.75" x14ac:dyDescent="0.25">
      <c r="E345" s="19" t="s">
        <v>27</v>
      </c>
      <c r="F345" s="20">
        <v>5775290121</v>
      </c>
      <c r="G345" s="20">
        <f>+F77</f>
        <v>4782526100</v>
      </c>
      <c r="H345" s="20">
        <f>+G345-F345</f>
        <v>-992764021</v>
      </c>
      <c r="I345" s="183">
        <f>+H345/G345</f>
        <v>-0.20758151659642798</v>
      </c>
    </row>
    <row r="346" spans="5:9" ht="15.75" x14ac:dyDescent="0.25">
      <c r="E346" s="177" t="s">
        <v>19</v>
      </c>
      <c r="F346" s="21">
        <f>+F344+F345</f>
        <v>16892985176</v>
      </c>
      <c r="G346" s="21">
        <f>+G344+G345</f>
        <v>18744949133</v>
      </c>
      <c r="H346" s="21">
        <f>+H344+H345</f>
        <v>1851963957</v>
      </c>
      <c r="I346" s="178"/>
    </row>
    <row r="357" spans="5:14" ht="15.75" x14ac:dyDescent="0.25">
      <c r="E357" s="18" t="s">
        <v>228</v>
      </c>
      <c r="F357" s="25" t="s">
        <v>10</v>
      </c>
      <c r="G357" s="25" t="s">
        <v>11</v>
      </c>
      <c r="H357" s="25" t="s">
        <v>12</v>
      </c>
    </row>
    <row r="358" spans="5:14" ht="15.75" x14ac:dyDescent="0.25">
      <c r="E358" s="8" t="s">
        <v>13</v>
      </c>
      <c r="F358" s="26">
        <v>0</v>
      </c>
      <c r="G358" s="26">
        <v>0</v>
      </c>
      <c r="H358" s="26">
        <v>0</v>
      </c>
      <c r="I358" s="15"/>
    </row>
    <row r="359" spans="5:14" ht="15.75" x14ac:dyDescent="0.25">
      <c r="E359" s="8" t="s">
        <v>32</v>
      </c>
      <c r="F359" s="26">
        <v>2202784197</v>
      </c>
      <c r="G359" s="26">
        <v>2202784197</v>
      </c>
      <c r="H359" s="26">
        <v>2202784197</v>
      </c>
      <c r="I359" s="15"/>
    </row>
    <row r="360" spans="5:14" ht="15.75" x14ac:dyDescent="0.25">
      <c r="E360" s="8" t="s">
        <v>33</v>
      </c>
      <c r="F360" s="26">
        <v>29934450</v>
      </c>
      <c r="G360" s="26">
        <v>29934450</v>
      </c>
      <c r="H360" s="26">
        <v>29934450</v>
      </c>
    </row>
    <row r="361" spans="5:14" ht="15.75" x14ac:dyDescent="0.25">
      <c r="E361" s="8" t="s">
        <v>34</v>
      </c>
      <c r="F361" s="26">
        <v>0</v>
      </c>
      <c r="G361" s="26">
        <v>0</v>
      </c>
      <c r="H361" s="26">
        <v>0</v>
      </c>
    </row>
    <row r="362" spans="5:14" ht="15.75" x14ac:dyDescent="0.25">
      <c r="E362" s="8" t="s">
        <v>35</v>
      </c>
      <c r="F362" s="26">
        <v>0</v>
      </c>
      <c r="G362" s="26">
        <v>0</v>
      </c>
      <c r="H362" s="26">
        <v>0</v>
      </c>
    </row>
    <row r="363" spans="5:14" ht="15.75" x14ac:dyDescent="0.25">
      <c r="E363" s="8" t="s">
        <v>18</v>
      </c>
      <c r="F363" s="26">
        <v>4633890604.4899998</v>
      </c>
      <c r="G363" s="26">
        <v>4633890604.4899998</v>
      </c>
      <c r="H363" s="26">
        <v>4633890604.4899998</v>
      </c>
    </row>
    <row r="364" spans="5:14" ht="15.75" x14ac:dyDescent="0.25">
      <c r="E364" s="12" t="s">
        <v>19</v>
      </c>
      <c r="F364" s="13">
        <f>SUM(F358:F363)</f>
        <v>6866609251.4899998</v>
      </c>
      <c r="G364" s="13">
        <f>SUM(G358:G363)</f>
        <v>6866609251.4899998</v>
      </c>
      <c r="H364" s="13">
        <f>SUM(H358:H363)</f>
        <v>6866609251.4899998</v>
      </c>
    </row>
    <row r="365" spans="5:14" x14ac:dyDescent="0.25">
      <c r="G365" s="209">
        <f>+G364/$F$364</f>
        <v>1</v>
      </c>
      <c r="H365" s="209">
        <f>+H364/$F$364</f>
        <v>1</v>
      </c>
    </row>
    <row r="367" spans="5:14" ht="15.75" x14ac:dyDescent="0.25">
      <c r="E367" s="18" t="s">
        <v>229</v>
      </c>
      <c r="F367" s="25" t="s">
        <v>11</v>
      </c>
      <c r="G367" s="25" t="s">
        <v>12</v>
      </c>
      <c r="J367" s="18" t="s">
        <v>231</v>
      </c>
      <c r="K367" s="25" t="s">
        <v>230</v>
      </c>
      <c r="L367" s="25" t="s">
        <v>220</v>
      </c>
      <c r="M367" s="25" t="s">
        <v>180</v>
      </c>
      <c r="N367" s="25" t="s">
        <v>179</v>
      </c>
    </row>
    <row r="368" spans="5:14" ht="15.75" x14ac:dyDescent="0.25">
      <c r="E368" s="8" t="s">
        <v>13</v>
      </c>
      <c r="F368" s="26">
        <v>15681501</v>
      </c>
      <c r="G368" s="26">
        <v>15681501</v>
      </c>
      <c r="J368" s="8" t="s">
        <v>177</v>
      </c>
      <c r="K368" s="26">
        <v>1968292685.1799998</v>
      </c>
      <c r="L368" s="26">
        <v>4594515959.3499985</v>
      </c>
      <c r="M368" s="26">
        <f>K368-L368</f>
        <v>-2626223274.1699986</v>
      </c>
      <c r="N368" s="183">
        <f>(L368-K368)/(K368)*100%</f>
        <v>1.334264611124047</v>
      </c>
    </row>
    <row r="369" spans="5:14" ht="15.75" x14ac:dyDescent="0.25">
      <c r="E369" s="8" t="s">
        <v>32</v>
      </c>
      <c r="F369" s="26">
        <v>68703280</v>
      </c>
      <c r="G369" s="26">
        <v>68703280</v>
      </c>
      <c r="J369" s="8" t="s">
        <v>95</v>
      </c>
      <c r="K369" s="26">
        <v>19030356710</v>
      </c>
      <c r="L369" s="26">
        <v>17577625897</v>
      </c>
      <c r="M369" s="26">
        <f>K369-L369</f>
        <v>1452730813</v>
      </c>
      <c r="N369" s="183">
        <f t="shared" ref="N369:N370" si="10">(L369-K369)/(K369)*100%</f>
        <v>-7.6337550322250369E-2</v>
      </c>
    </row>
    <row r="370" spans="5:14" ht="15.75" x14ac:dyDescent="0.25">
      <c r="E370" s="8" t="s">
        <v>33</v>
      </c>
      <c r="F370" s="26">
        <v>0</v>
      </c>
      <c r="G370" s="26">
        <v>0</v>
      </c>
      <c r="J370" s="8" t="s">
        <v>12</v>
      </c>
      <c r="K370" s="26">
        <v>16405099964.830002</v>
      </c>
      <c r="L370" s="26">
        <v>16037102681.68</v>
      </c>
      <c r="M370" s="26">
        <f t="shared" ref="M370" si="11">K370-L370</f>
        <v>367997283.15000153</v>
      </c>
      <c r="N370" s="183">
        <f t="shared" si="10"/>
        <v>-2.2431883008267602E-2</v>
      </c>
    </row>
    <row r="371" spans="5:14" ht="15.75" x14ac:dyDescent="0.25">
      <c r="E371" s="8" t="s">
        <v>34</v>
      </c>
      <c r="F371" s="26">
        <v>0</v>
      </c>
      <c r="G371" s="26">
        <v>0</v>
      </c>
      <c r="J371" s="12" t="s">
        <v>178</v>
      </c>
      <c r="K371" s="203">
        <f>+K368+K369-K370</f>
        <v>4593549430.3499985</v>
      </c>
      <c r="L371" s="203">
        <f>+L368+L369-L370</f>
        <v>6135039174.6699982</v>
      </c>
      <c r="M371" s="203">
        <f>+M368+M369-M370</f>
        <v>-1541489744.3200002</v>
      </c>
      <c r="N371" s="184">
        <f>+N368+N369-N370</f>
        <v>1.2803589438100644</v>
      </c>
    </row>
    <row r="372" spans="5:14" ht="15.75" x14ac:dyDescent="0.25">
      <c r="E372" s="8" t="s">
        <v>35</v>
      </c>
      <c r="F372" s="26">
        <v>0</v>
      </c>
      <c r="G372" s="26">
        <v>0</v>
      </c>
    </row>
    <row r="373" spans="5:14" ht="15.75" x14ac:dyDescent="0.25">
      <c r="E373" s="8" t="s">
        <v>18</v>
      </c>
      <c r="F373" s="26">
        <v>0</v>
      </c>
      <c r="G373" s="26">
        <v>0</v>
      </c>
    </row>
    <row r="374" spans="5:14" ht="15.75" x14ac:dyDescent="0.25">
      <c r="E374" s="12" t="s">
        <v>19</v>
      </c>
      <c r="F374" s="13">
        <f>SUM(F368:F373)</f>
        <v>84384781</v>
      </c>
      <c r="G374" s="13">
        <f>SUM(G368:G373)</f>
        <v>84384781</v>
      </c>
    </row>
    <row r="375" spans="5:14" x14ac:dyDescent="0.25">
      <c r="G375" s="209">
        <f>+G374/F374</f>
        <v>1</v>
      </c>
    </row>
    <row r="378" spans="5:14" ht="38.25" x14ac:dyDescent="0.25">
      <c r="E378" s="185" t="s">
        <v>22</v>
      </c>
      <c r="F378" s="185" t="s">
        <v>181</v>
      </c>
      <c r="G378" s="186" t="s">
        <v>182</v>
      </c>
      <c r="H378" s="186" t="s">
        <v>19</v>
      </c>
      <c r="I378" s="186" t="s">
        <v>183</v>
      </c>
      <c r="J378" s="186" t="s">
        <v>184</v>
      </c>
      <c r="K378" s="186" t="s">
        <v>185</v>
      </c>
    </row>
    <row r="379" spans="5:14" x14ac:dyDescent="0.25">
      <c r="E379" s="187" t="s">
        <v>152</v>
      </c>
      <c r="F379" s="191">
        <f>+F380+F381+F382+F383+F384+F385</f>
        <v>18277877663</v>
      </c>
      <c r="G379" s="191">
        <f t="shared" ref="G379:K379" si="12">+G380+G381+G382+G383+G384+G385</f>
        <v>0</v>
      </c>
      <c r="H379" s="191">
        <f>+F379+G379</f>
        <v>18277877663</v>
      </c>
      <c r="I379" s="199">
        <f t="shared" si="12"/>
        <v>0.97508280941783232</v>
      </c>
      <c r="J379" s="191">
        <f>+J380+J381+J382+J383+J384+J385</f>
        <v>18236292148.549999</v>
      </c>
      <c r="K379" s="199">
        <f t="shared" si="12"/>
        <v>0.97286431769747916</v>
      </c>
    </row>
    <row r="380" spans="5:14" x14ac:dyDescent="0.25">
      <c r="E380" s="188" t="s">
        <v>186</v>
      </c>
      <c r="F380" s="190">
        <v>17077877663</v>
      </c>
      <c r="G380" s="190">
        <v>0</v>
      </c>
      <c r="H380" s="190">
        <f>+F380+G380</f>
        <v>17077877663</v>
      </c>
      <c r="I380" s="200">
        <f>+H380/H390</f>
        <v>0.91106556447970488</v>
      </c>
      <c r="J380" s="190">
        <v>17109893148.549999</v>
      </c>
      <c r="K380" s="200">
        <f>+J380/$H$390</f>
        <v>0.91277351712992771</v>
      </c>
    </row>
    <row r="381" spans="5:14" x14ac:dyDescent="0.25">
      <c r="E381" s="188" t="s">
        <v>187</v>
      </c>
      <c r="F381" s="190"/>
      <c r="G381" s="190">
        <v>0</v>
      </c>
      <c r="H381" s="190">
        <f t="shared" ref="H381:H390" si="13">+F381+G381</f>
        <v>0</v>
      </c>
      <c r="I381" s="201"/>
      <c r="J381" s="190"/>
      <c r="K381" s="200">
        <f t="shared" ref="K381:K383" si="14">+J381/$H$390</f>
        <v>0</v>
      </c>
    </row>
    <row r="382" spans="5:14" x14ac:dyDescent="0.25">
      <c r="E382" s="188" t="s">
        <v>188</v>
      </c>
      <c r="F382" s="190"/>
      <c r="G382" s="190">
        <v>0</v>
      </c>
      <c r="H382" s="190">
        <f t="shared" si="13"/>
        <v>0</v>
      </c>
      <c r="I382" s="201"/>
      <c r="J382" s="190"/>
      <c r="K382" s="200">
        <f t="shared" si="14"/>
        <v>0</v>
      </c>
    </row>
    <row r="383" spans="5:14" x14ac:dyDescent="0.25">
      <c r="E383" s="188" t="s">
        <v>189</v>
      </c>
      <c r="F383" s="190"/>
      <c r="G383" s="190">
        <v>0</v>
      </c>
      <c r="H383" s="190">
        <f t="shared" si="13"/>
        <v>0</v>
      </c>
      <c r="I383" s="201"/>
      <c r="J383" s="190"/>
      <c r="K383" s="200">
        <f t="shared" si="14"/>
        <v>0</v>
      </c>
    </row>
    <row r="384" spans="5:14" x14ac:dyDescent="0.25">
      <c r="E384" s="188" t="s">
        <v>190</v>
      </c>
      <c r="F384" s="190">
        <v>1200000000</v>
      </c>
      <c r="G384" s="190">
        <v>0</v>
      </c>
      <c r="H384" s="190">
        <f t="shared" si="13"/>
        <v>1200000000</v>
      </c>
      <c r="I384" s="212">
        <f>+H384/H390</f>
        <v>6.401724493812741E-2</v>
      </c>
      <c r="J384" s="190">
        <v>1126399000</v>
      </c>
      <c r="K384" s="200">
        <f>+J384/$H$390</f>
        <v>6.0090800567551478E-2</v>
      </c>
    </row>
    <row r="385" spans="5:11" x14ac:dyDescent="0.25">
      <c r="E385" s="189" t="s">
        <v>191</v>
      </c>
      <c r="F385" s="190"/>
      <c r="G385" s="190">
        <v>0</v>
      </c>
      <c r="H385" s="190">
        <f t="shared" si="13"/>
        <v>0</v>
      </c>
      <c r="I385" s="201"/>
      <c r="J385" s="190"/>
      <c r="K385" s="200">
        <f>+J385/H390</f>
        <v>0</v>
      </c>
    </row>
    <row r="386" spans="5:11" x14ac:dyDescent="0.25">
      <c r="E386" s="187" t="s">
        <v>153</v>
      </c>
      <c r="F386" s="191">
        <f>+F387+F388+F389</f>
        <v>467071470</v>
      </c>
      <c r="G386" s="191">
        <f t="shared" ref="G386:K386" si="15">+G387+G388+G389</f>
        <v>0</v>
      </c>
      <c r="H386" s="191">
        <f t="shared" si="15"/>
        <v>467071470</v>
      </c>
      <c r="I386" s="199">
        <f t="shared" si="15"/>
        <v>2.4917190582167691E-2</v>
      </c>
      <c r="J386" s="191">
        <f>+J387+J388</f>
        <v>467113559.20999998</v>
      </c>
      <c r="K386" s="199">
        <f t="shared" si="15"/>
        <v>2.5868426250159407E-2</v>
      </c>
    </row>
    <row r="387" spans="5:11" x14ac:dyDescent="0.25">
      <c r="E387" s="189" t="s">
        <v>192</v>
      </c>
      <c r="F387" s="190">
        <v>467071470</v>
      </c>
      <c r="G387" s="190">
        <v>0</v>
      </c>
      <c r="H387" s="190">
        <f t="shared" si="13"/>
        <v>467071470</v>
      </c>
      <c r="I387" s="200">
        <f>+H387/H390</f>
        <v>2.4917190582167691E-2</v>
      </c>
      <c r="J387" s="190">
        <v>467071470</v>
      </c>
      <c r="K387" s="200">
        <f>+J387/$H$390</f>
        <v>2.4917190582167691E-2</v>
      </c>
    </row>
    <row r="388" spans="5:11" x14ac:dyDescent="0.25">
      <c r="E388" s="189" t="s">
        <v>193</v>
      </c>
      <c r="F388" s="190"/>
      <c r="G388" s="190">
        <v>0</v>
      </c>
      <c r="H388" s="190">
        <f t="shared" si="13"/>
        <v>0</v>
      </c>
      <c r="I388" s="201"/>
      <c r="J388" s="190">
        <v>42089.21</v>
      </c>
      <c r="K388" s="200">
        <f>+J388/$H$390</f>
        <v>2.2453627215185679E-6</v>
      </c>
    </row>
    <row r="389" spans="5:11" x14ac:dyDescent="0.25">
      <c r="E389" s="189" t="s">
        <v>194</v>
      </c>
      <c r="F389" s="190"/>
      <c r="G389" s="190">
        <v>0</v>
      </c>
      <c r="H389" s="190">
        <f t="shared" si="13"/>
        <v>0</v>
      </c>
      <c r="I389" s="201"/>
      <c r="J389" s="190">
        <v>17788775</v>
      </c>
      <c r="K389" s="200">
        <f t="shared" ref="K389" si="16">+J389/$H$390</f>
        <v>9.4899030527019783E-4</v>
      </c>
    </row>
    <row r="390" spans="5:11" ht="15.75" x14ac:dyDescent="0.25">
      <c r="E390" s="187" t="s">
        <v>103</v>
      </c>
      <c r="F390" s="191">
        <f>+F379+F386</f>
        <v>18744949133</v>
      </c>
      <c r="G390" s="192"/>
      <c r="H390" s="191">
        <f t="shared" si="13"/>
        <v>18744949133</v>
      </c>
      <c r="I390" s="199">
        <f>+I379+I386</f>
        <v>1</v>
      </c>
      <c r="J390" s="191">
        <f>+J379+J386</f>
        <v>18703405707.759998</v>
      </c>
      <c r="K390" s="199">
        <f>+K379+K386</f>
        <v>0.99873274394763856</v>
      </c>
    </row>
    <row r="392" spans="5:11" x14ac:dyDescent="0.25">
      <c r="J392" s="217"/>
      <c r="K392" s="206"/>
    </row>
    <row r="394" spans="5:11" ht="25.5" x14ac:dyDescent="0.25">
      <c r="E394" s="185" t="s">
        <v>22</v>
      </c>
      <c r="F394" s="186" t="s">
        <v>232</v>
      </c>
      <c r="G394" s="186" t="s">
        <v>221</v>
      </c>
      <c r="H394" s="186" t="s">
        <v>195</v>
      </c>
      <c r="I394" s="186" t="s">
        <v>159</v>
      </c>
    </row>
    <row r="395" spans="5:11" x14ac:dyDescent="0.25">
      <c r="E395" s="187" t="s">
        <v>152</v>
      </c>
      <c r="F395" s="191">
        <f t="shared" ref="F395:G395" si="17">+F396+F397+F398+F399+F400+F401</f>
        <v>17123490254.290001</v>
      </c>
      <c r="G395" s="191">
        <f t="shared" si="17"/>
        <v>18236292148.549999</v>
      </c>
      <c r="H395" s="191">
        <f t="shared" ref="H395" si="18">+H396+H397+H398+H399+H400+H401</f>
        <v>1112801894.2599983</v>
      </c>
      <c r="I395" s="216">
        <f>+(G395-F395)/F395</f>
        <v>6.4986861774935442E-2</v>
      </c>
    </row>
    <row r="396" spans="5:11" x14ac:dyDescent="0.25">
      <c r="E396" s="188" t="s">
        <v>186</v>
      </c>
      <c r="F396" s="204">
        <v>16385547110.290001</v>
      </c>
      <c r="G396" s="190">
        <f>+J380</f>
        <v>17109893148.549999</v>
      </c>
      <c r="H396" s="190">
        <f>+G396-F396</f>
        <v>724346038.25999832</v>
      </c>
      <c r="I396" s="194">
        <f>+(G396-F396)/F396</f>
        <v>4.420639929716564E-2</v>
      </c>
    </row>
    <row r="397" spans="5:11" x14ac:dyDescent="0.25">
      <c r="E397" s="188" t="s">
        <v>187</v>
      </c>
      <c r="F397" s="190"/>
      <c r="G397" s="190"/>
      <c r="H397" s="190">
        <f t="shared" ref="H397:H401" si="19">+G397-F397</f>
        <v>0</v>
      </c>
      <c r="I397" s="194">
        <v>0</v>
      </c>
    </row>
    <row r="398" spans="5:11" x14ac:dyDescent="0.25">
      <c r="E398" s="188" t="s">
        <v>188</v>
      </c>
      <c r="F398" s="190"/>
      <c r="G398" s="190"/>
      <c r="H398" s="190">
        <f t="shared" si="19"/>
        <v>0</v>
      </c>
      <c r="I398" s="194">
        <v>0</v>
      </c>
    </row>
    <row r="399" spans="5:11" x14ac:dyDescent="0.25">
      <c r="E399" s="188" t="s">
        <v>189</v>
      </c>
      <c r="F399" s="190"/>
      <c r="G399" s="190"/>
      <c r="H399" s="190">
        <f t="shared" si="19"/>
        <v>0</v>
      </c>
      <c r="I399" s="194">
        <v>0</v>
      </c>
    </row>
    <row r="400" spans="5:11" x14ac:dyDescent="0.25">
      <c r="E400" s="188" t="s">
        <v>190</v>
      </c>
      <c r="F400" s="190">
        <v>737943144</v>
      </c>
      <c r="G400" s="190">
        <f>+J384</f>
        <v>1126399000</v>
      </c>
      <c r="H400" s="190">
        <f t="shared" si="19"/>
        <v>388455856</v>
      </c>
      <c r="I400" s="194">
        <f t="shared" ref="I400:I401" si="20">+(G400-F400)/F400</f>
        <v>0.52640350297773075</v>
      </c>
    </row>
    <row r="401" spans="5:15" x14ac:dyDescent="0.25">
      <c r="E401" s="189" t="s">
        <v>191</v>
      </c>
      <c r="F401" s="190"/>
      <c r="G401" s="190">
        <f>+J385</f>
        <v>0</v>
      </c>
      <c r="H401" s="190">
        <f t="shared" si="19"/>
        <v>0</v>
      </c>
      <c r="I401" s="194" t="e">
        <f t="shared" si="20"/>
        <v>#DIV/0!</v>
      </c>
    </row>
    <row r="402" spans="5:15" x14ac:dyDescent="0.25">
      <c r="E402" s="187" t="s">
        <v>153</v>
      </c>
      <c r="F402" s="191">
        <f t="shared" ref="F402:G402" si="21">+F403+F404+F405</f>
        <v>1119041577.6700001</v>
      </c>
      <c r="G402" s="191">
        <f t="shared" si="21"/>
        <v>484902334.20999998</v>
      </c>
      <c r="H402" s="191">
        <f>+H403+H404</f>
        <v>-651591152.46000004</v>
      </c>
      <c r="I402" s="193">
        <f>+I403+I404+I405</f>
        <v>-0.5824835999534298</v>
      </c>
    </row>
    <row r="403" spans="5:15" x14ac:dyDescent="0.25">
      <c r="E403" s="189" t="s">
        <v>192</v>
      </c>
      <c r="F403" s="190">
        <v>1118690116</v>
      </c>
      <c r="G403" s="190">
        <f>+J387</f>
        <v>467071470</v>
      </c>
      <c r="H403" s="190">
        <f>+G403-F403</f>
        <v>-651618646</v>
      </c>
      <c r="I403" s="194">
        <f t="shared" ref="I403" si="22">+(G403-F403)/F403</f>
        <v>-0.5824835999534298</v>
      </c>
    </row>
    <row r="404" spans="5:15" x14ac:dyDescent="0.25">
      <c r="E404" s="189" t="s">
        <v>193</v>
      </c>
      <c r="F404" s="190">
        <v>14595.67</v>
      </c>
      <c r="G404" s="190">
        <f>+J388</f>
        <v>42089.21</v>
      </c>
      <c r="H404" s="190">
        <f t="shared" ref="H404:H405" si="23">+G404-F404</f>
        <v>27493.54</v>
      </c>
      <c r="I404" s="194">
        <v>0</v>
      </c>
    </row>
    <row r="405" spans="5:15" x14ac:dyDescent="0.25">
      <c r="E405" s="189" t="s">
        <v>194</v>
      </c>
      <c r="F405" s="190">
        <v>336866</v>
      </c>
      <c r="G405" s="190">
        <f>+J389</f>
        <v>17788775</v>
      </c>
      <c r="H405" s="190">
        <f t="shared" si="23"/>
        <v>17451909</v>
      </c>
      <c r="I405" s="194">
        <v>0</v>
      </c>
    </row>
    <row r="406" spans="5:15" x14ac:dyDescent="0.25">
      <c r="E406" s="187" t="s">
        <v>103</v>
      </c>
      <c r="F406" s="191">
        <f>+F395+F402</f>
        <v>18242531831.959999</v>
      </c>
      <c r="G406" s="191">
        <f>+G395+G402</f>
        <v>18721194482.759998</v>
      </c>
      <c r="H406" s="191">
        <f t="shared" ref="H406:I406" si="24">+H395+H402</f>
        <v>461210741.79999828</v>
      </c>
      <c r="I406" s="193">
        <f t="shared" si="24"/>
        <v>-0.5174967381784944</v>
      </c>
    </row>
    <row r="409" spans="5:15" x14ac:dyDescent="0.25">
      <c r="F409" s="206"/>
      <c r="L409" s="196"/>
      <c r="M409" s="196"/>
      <c r="N409" s="196"/>
      <c r="O409" s="195"/>
    </row>
    <row r="410" spans="5:15" ht="31.5" customHeight="1" x14ac:dyDescent="0.25">
      <c r="E410" s="185" t="s">
        <v>196</v>
      </c>
      <c r="F410" s="185" t="s">
        <v>200</v>
      </c>
      <c r="G410" s="186" t="s">
        <v>197</v>
      </c>
    </row>
    <row r="411" spans="5:15" x14ac:dyDescent="0.25">
      <c r="E411" s="188" t="s">
        <v>198</v>
      </c>
      <c r="F411" s="197" t="s">
        <v>201</v>
      </c>
      <c r="G411" s="190">
        <v>761696490</v>
      </c>
    </row>
    <row r="412" spans="5:15" x14ac:dyDescent="0.25">
      <c r="E412" s="188" t="s">
        <v>199</v>
      </c>
      <c r="F412" s="197" t="s">
        <v>201</v>
      </c>
      <c r="G412" s="190">
        <v>901742360</v>
      </c>
    </row>
    <row r="413" spans="5:15" x14ac:dyDescent="0.25">
      <c r="E413" s="237" t="s">
        <v>202</v>
      </c>
      <c r="F413" s="238"/>
      <c r="G413" s="190">
        <f>+G411+G412</f>
        <v>1663438850</v>
      </c>
    </row>
    <row r="416" spans="5:15" ht="25.5" x14ac:dyDescent="0.25">
      <c r="E416" s="185" t="s">
        <v>196</v>
      </c>
      <c r="F416" s="186" t="s">
        <v>197</v>
      </c>
    </row>
    <row r="417" spans="5:7" x14ac:dyDescent="0.25">
      <c r="E417" s="188" t="s">
        <v>203</v>
      </c>
      <c r="F417" s="190">
        <v>3316457</v>
      </c>
    </row>
    <row r="418" spans="5:7" x14ac:dyDescent="0.25">
      <c r="E418" s="188" t="s">
        <v>198</v>
      </c>
      <c r="F418" s="190">
        <v>198792287</v>
      </c>
    </row>
    <row r="419" spans="5:7" x14ac:dyDescent="0.25">
      <c r="E419" s="198" t="s">
        <v>202</v>
      </c>
      <c r="F419" s="191">
        <f>SUM(F417:F418)</f>
        <v>202108744</v>
      </c>
    </row>
    <row r="422" spans="5:7" x14ac:dyDescent="0.25">
      <c r="E422" s="236" t="s">
        <v>204</v>
      </c>
      <c r="F422" s="236"/>
      <c r="G422" s="186" t="s">
        <v>178</v>
      </c>
    </row>
    <row r="423" spans="5:7" x14ac:dyDescent="0.25">
      <c r="E423" s="239" t="s">
        <v>205</v>
      </c>
      <c r="F423" s="239"/>
      <c r="G423" s="190">
        <v>1027583</v>
      </c>
    </row>
    <row r="424" spans="5:7" x14ac:dyDescent="0.25">
      <c r="E424" s="234" t="s">
        <v>206</v>
      </c>
      <c r="F424" s="235"/>
      <c r="G424" s="190">
        <v>129680</v>
      </c>
    </row>
    <row r="425" spans="5:7" x14ac:dyDescent="0.25">
      <c r="E425" s="236" t="s">
        <v>202</v>
      </c>
      <c r="F425" s="236"/>
      <c r="G425" s="191">
        <f>SUM(G423:G424)</f>
        <v>1157263</v>
      </c>
    </row>
    <row r="429" spans="5:7" ht="25.5" x14ac:dyDescent="0.25">
      <c r="E429" s="210" t="s">
        <v>196</v>
      </c>
      <c r="F429" s="186" t="s">
        <v>197</v>
      </c>
    </row>
    <row r="430" spans="5:7" x14ac:dyDescent="0.25">
      <c r="E430" s="188" t="s">
        <v>198</v>
      </c>
      <c r="F430" s="190">
        <v>792652</v>
      </c>
    </row>
    <row r="431" spans="5:7" x14ac:dyDescent="0.25">
      <c r="E431" s="188" t="s">
        <v>210</v>
      </c>
      <c r="F431" s="190"/>
    </row>
    <row r="432" spans="5:7" x14ac:dyDescent="0.25">
      <c r="E432" s="211" t="s">
        <v>202</v>
      </c>
      <c r="F432" s="191">
        <f>SUM(F430:F431)</f>
        <v>792652</v>
      </c>
    </row>
    <row r="448" spans="5:8" ht="15.75" x14ac:dyDescent="0.25">
      <c r="E448" s="18" t="s">
        <v>222</v>
      </c>
      <c r="F448" s="25" t="s">
        <v>10</v>
      </c>
      <c r="G448" s="25" t="s">
        <v>11</v>
      </c>
      <c r="H448" s="25" t="s">
        <v>12</v>
      </c>
    </row>
    <row r="449" spans="5:8" ht="15.75" x14ac:dyDescent="0.25">
      <c r="E449" s="8" t="s">
        <v>13</v>
      </c>
      <c r="F449" s="26">
        <v>0</v>
      </c>
      <c r="G449" s="26">
        <v>0</v>
      </c>
      <c r="H449" s="26">
        <v>0</v>
      </c>
    </row>
    <row r="450" spans="5:8" ht="15.75" x14ac:dyDescent="0.25">
      <c r="E450" s="8" t="s">
        <v>32</v>
      </c>
      <c r="F450" s="26">
        <v>2204140541.1599998</v>
      </c>
      <c r="G450" s="26">
        <v>0</v>
      </c>
      <c r="H450" s="26">
        <v>0</v>
      </c>
    </row>
    <row r="451" spans="5:8" ht="15.75" x14ac:dyDescent="0.25">
      <c r="E451" s="8" t="s">
        <v>33</v>
      </c>
      <c r="F451" s="26">
        <v>29934450</v>
      </c>
      <c r="G451" s="26">
        <v>0</v>
      </c>
      <c r="H451" s="26">
        <v>0</v>
      </c>
    </row>
    <row r="452" spans="5:8" ht="15.75" x14ac:dyDescent="0.25">
      <c r="E452" s="8" t="s">
        <v>34</v>
      </c>
      <c r="F452" s="26">
        <v>0</v>
      </c>
      <c r="G452" s="26">
        <v>0</v>
      </c>
      <c r="H452" s="26">
        <v>0</v>
      </c>
    </row>
    <row r="453" spans="5:8" ht="15.75" x14ac:dyDescent="0.25">
      <c r="E453" s="8" t="s">
        <v>35</v>
      </c>
      <c r="F453" s="26">
        <v>0</v>
      </c>
      <c r="G453" s="26">
        <v>0</v>
      </c>
      <c r="H453" s="26">
        <v>0</v>
      </c>
    </row>
    <row r="454" spans="5:8" ht="15.75" x14ac:dyDescent="0.25">
      <c r="E454" s="8" t="s">
        <v>18</v>
      </c>
      <c r="F454" s="26">
        <v>4634000371.96</v>
      </c>
      <c r="G454" s="26">
        <v>0</v>
      </c>
      <c r="H454" s="26">
        <v>0</v>
      </c>
    </row>
    <row r="455" spans="5:8" ht="15.75" x14ac:dyDescent="0.25">
      <c r="E455" s="12" t="s">
        <v>19</v>
      </c>
      <c r="F455" s="13">
        <f>SUM(F449:F454)</f>
        <v>6868075363.1199999</v>
      </c>
      <c r="G455" s="13">
        <f>SUM(G449:G454)</f>
        <v>0</v>
      </c>
      <c r="H455" s="13">
        <f>SUM(H449:H454)</f>
        <v>0</v>
      </c>
    </row>
    <row r="456" spans="5:8" x14ac:dyDescent="0.25">
      <c r="G456" s="209">
        <f>+G455/$F$364</f>
        <v>0</v>
      </c>
      <c r="H456" s="209">
        <f>+H455/$F$364</f>
        <v>0</v>
      </c>
    </row>
    <row r="458" spans="5:8" ht="15.75" x14ac:dyDescent="0.25">
      <c r="E458" s="18" t="s">
        <v>223</v>
      </c>
      <c r="F458" s="25" t="s">
        <v>11</v>
      </c>
      <c r="G458" s="25" t="s">
        <v>12</v>
      </c>
    </row>
    <row r="459" spans="5:8" ht="15.75" x14ac:dyDescent="0.25">
      <c r="E459" s="8" t="s">
        <v>13</v>
      </c>
      <c r="F459" s="26">
        <v>15681501</v>
      </c>
      <c r="G459" s="26">
        <v>0</v>
      </c>
    </row>
    <row r="460" spans="5:8" ht="15.75" x14ac:dyDescent="0.25">
      <c r="E460" s="8" t="s">
        <v>32</v>
      </c>
      <c r="F460" s="26">
        <v>68703280</v>
      </c>
      <c r="G460" s="26">
        <v>0</v>
      </c>
    </row>
    <row r="461" spans="5:8" ht="15.75" x14ac:dyDescent="0.25">
      <c r="E461" s="8" t="s">
        <v>33</v>
      </c>
      <c r="F461" s="26">
        <v>0</v>
      </c>
      <c r="G461" s="26">
        <v>0</v>
      </c>
    </row>
    <row r="462" spans="5:8" ht="15.75" x14ac:dyDescent="0.25">
      <c r="E462" s="8" t="s">
        <v>34</v>
      </c>
      <c r="F462" s="26">
        <v>0</v>
      </c>
      <c r="G462" s="26">
        <v>0</v>
      </c>
    </row>
    <row r="463" spans="5:8" ht="15.75" x14ac:dyDescent="0.25">
      <c r="E463" s="8" t="s">
        <v>35</v>
      </c>
      <c r="F463" s="26">
        <v>0</v>
      </c>
      <c r="G463" s="26">
        <v>0</v>
      </c>
    </row>
    <row r="464" spans="5:8" ht="15.75" x14ac:dyDescent="0.25">
      <c r="E464" s="8" t="s">
        <v>18</v>
      </c>
      <c r="F464" s="26">
        <v>0</v>
      </c>
      <c r="G464" s="26">
        <v>0</v>
      </c>
    </row>
    <row r="465" spans="5:7" ht="15.75" x14ac:dyDescent="0.25">
      <c r="E465" s="12" t="s">
        <v>19</v>
      </c>
      <c r="F465" s="13">
        <f>SUM(F459:F464)</f>
        <v>84384781</v>
      </c>
      <c r="G465" s="13">
        <f>SUM(G459:G464)</f>
        <v>0</v>
      </c>
    </row>
  </sheetData>
  <mergeCells count="15">
    <mergeCell ref="E15:H15"/>
    <mergeCell ref="E424:F424"/>
    <mergeCell ref="E425:F425"/>
    <mergeCell ref="E413:F413"/>
    <mergeCell ref="E422:F422"/>
    <mergeCell ref="E423:F423"/>
    <mergeCell ref="E332:I332"/>
    <mergeCell ref="E232:H232"/>
    <mergeCell ref="E342:I342"/>
    <mergeCell ref="E21:H21"/>
    <mergeCell ref="F99:F103"/>
    <mergeCell ref="E198:H198"/>
    <mergeCell ref="E204:H204"/>
    <mergeCell ref="E325:H325"/>
    <mergeCell ref="E216:H216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9B49-E333-41C0-A99E-FD17CE094D41}">
  <dimension ref="D2:P465"/>
  <sheetViews>
    <sheetView tabSelected="1" topLeftCell="B349" zoomScaleNormal="100" workbookViewId="0">
      <selection activeCell="I361" sqref="I361"/>
    </sheetView>
  </sheetViews>
  <sheetFormatPr baseColWidth="10" defaultColWidth="11.42578125" defaultRowHeight="15" x14ac:dyDescent="0.25"/>
  <cols>
    <col min="1" max="2" width="6.42578125" customWidth="1"/>
    <col min="3" max="3" width="4.85546875" customWidth="1"/>
    <col min="4" max="4" width="5.42578125" customWidth="1"/>
    <col min="5" max="5" width="50.42578125" customWidth="1"/>
    <col min="6" max="6" width="22" customWidth="1"/>
    <col min="7" max="7" width="24" customWidth="1"/>
    <col min="8" max="8" width="22.5703125" customWidth="1"/>
    <col min="9" max="9" width="22.28515625" customWidth="1"/>
    <col min="10" max="11" width="21.28515625" customWidth="1"/>
    <col min="12" max="12" width="22.140625" customWidth="1"/>
    <col min="13" max="13" width="20.85546875" customWidth="1"/>
    <col min="14" max="14" width="19.5703125" customWidth="1"/>
  </cols>
  <sheetData>
    <row r="2" spans="5:12" x14ac:dyDescent="0.25">
      <c r="F2" t="s">
        <v>0</v>
      </c>
      <c r="G2" t="s">
        <v>1</v>
      </c>
      <c r="H2" t="s">
        <v>2</v>
      </c>
      <c r="I2" t="s">
        <v>3</v>
      </c>
      <c r="J2" t="s">
        <v>4</v>
      </c>
    </row>
    <row r="4" spans="5:12" ht="31.5" x14ac:dyDescent="0.25">
      <c r="E4" s="1" t="s">
        <v>5</v>
      </c>
      <c r="F4" s="2" t="s">
        <v>6</v>
      </c>
      <c r="G4" s="3" t="s">
        <v>7</v>
      </c>
      <c r="H4" s="4" t="s">
        <v>8</v>
      </c>
      <c r="I4" s="5" t="s">
        <v>9</v>
      </c>
      <c r="J4" s="6" t="s">
        <v>10</v>
      </c>
      <c r="K4" s="6" t="s">
        <v>11</v>
      </c>
      <c r="L4" s="7" t="s">
        <v>12</v>
      </c>
    </row>
    <row r="5" spans="5:12" ht="15.75" x14ac:dyDescent="0.25">
      <c r="E5" s="8" t="s">
        <v>13</v>
      </c>
      <c r="F5" s="9">
        <v>7395639071</v>
      </c>
      <c r="G5" s="9">
        <v>2349835674</v>
      </c>
      <c r="H5" s="9">
        <f t="shared" ref="H5:H10" si="0">F5+G5</f>
        <v>9745474745</v>
      </c>
      <c r="I5" s="10">
        <v>5068651350</v>
      </c>
      <c r="J5" s="10">
        <v>5011885356</v>
      </c>
      <c r="K5" s="10">
        <v>4581325815</v>
      </c>
      <c r="L5" s="10">
        <v>4534814662</v>
      </c>
    </row>
    <row r="6" spans="5:12" ht="15.75" x14ac:dyDescent="0.25">
      <c r="E6" s="8" t="s">
        <v>14</v>
      </c>
      <c r="F6" s="9"/>
      <c r="G6" s="9">
        <v>4135446597</v>
      </c>
      <c r="H6" s="9">
        <f t="shared" si="0"/>
        <v>4135446597</v>
      </c>
      <c r="I6" s="10">
        <v>2132490201</v>
      </c>
      <c r="J6" s="10">
        <v>1519083315</v>
      </c>
      <c r="K6" s="10">
        <v>967970742</v>
      </c>
      <c r="L6" s="10">
        <v>967970742</v>
      </c>
    </row>
    <row r="7" spans="5:12" ht="15.75" x14ac:dyDescent="0.25">
      <c r="E7" s="8" t="s">
        <v>15</v>
      </c>
      <c r="F7" s="9">
        <v>1474286231</v>
      </c>
      <c r="G7" s="9">
        <f>1200000000+480810000+60000000</f>
        <v>1740810000</v>
      </c>
      <c r="H7" s="9">
        <f t="shared" si="0"/>
        <v>3215096231</v>
      </c>
      <c r="I7" s="10"/>
      <c r="J7" s="10"/>
      <c r="K7" s="10"/>
      <c r="L7" s="10"/>
    </row>
    <row r="8" spans="5:12" ht="30.75" x14ac:dyDescent="0.25">
      <c r="E8" s="11" t="s">
        <v>16</v>
      </c>
      <c r="F8" s="9">
        <v>18334000</v>
      </c>
      <c r="G8" s="9">
        <v>31020000</v>
      </c>
      <c r="H8" s="9">
        <f t="shared" si="0"/>
        <v>49354000</v>
      </c>
      <c r="I8" s="10"/>
      <c r="J8" s="10"/>
      <c r="K8" s="10"/>
      <c r="L8" s="10"/>
    </row>
    <row r="9" spans="5:12" ht="15.75" x14ac:dyDescent="0.25">
      <c r="E9" s="8" t="s">
        <v>17</v>
      </c>
      <c r="F9" s="9">
        <v>0</v>
      </c>
      <c r="G9" s="9">
        <v>206800000</v>
      </c>
      <c r="H9" s="9">
        <f t="shared" si="0"/>
        <v>206800000</v>
      </c>
      <c r="I9" s="10">
        <v>71792206</v>
      </c>
      <c r="J9" s="10">
        <v>53110722</v>
      </c>
      <c r="K9" s="10">
        <v>10202206</v>
      </c>
      <c r="L9" s="10">
        <v>10202206</v>
      </c>
    </row>
    <row r="10" spans="5:12" ht="15.75" x14ac:dyDescent="0.25">
      <c r="E10" s="8" t="s">
        <v>18</v>
      </c>
      <c r="F10" s="9">
        <v>851852208</v>
      </c>
      <c r="G10" s="9">
        <v>1900278729</v>
      </c>
      <c r="H10" s="9">
        <f t="shared" si="0"/>
        <v>2752130937</v>
      </c>
      <c r="I10" s="10">
        <v>861786656</v>
      </c>
      <c r="J10" s="10">
        <v>0</v>
      </c>
      <c r="K10" s="10">
        <v>0</v>
      </c>
      <c r="L10" s="10">
        <v>0</v>
      </c>
    </row>
    <row r="11" spans="5:12" ht="15.75" x14ac:dyDescent="0.25">
      <c r="E11" s="12" t="s">
        <v>19</v>
      </c>
      <c r="F11" s="13">
        <f t="shared" ref="F11:L11" si="1">SUM(F5:F10)</f>
        <v>9740111510</v>
      </c>
      <c r="G11" s="13">
        <f t="shared" si="1"/>
        <v>10364191000</v>
      </c>
      <c r="H11" s="13">
        <f t="shared" si="1"/>
        <v>20104302510</v>
      </c>
      <c r="I11" s="10">
        <f t="shared" si="1"/>
        <v>8134720413</v>
      </c>
      <c r="J11" s="10">
        <f t="shared" si="1"/>
        <v>6584079393</v>
      </c>
      <c r="K11" s="10">
        <f t="shared" si="1"/>
        <v>5559498763</v>
      </c>
      <c r="L11" s="10">
        <f t="shared" si="1"/>
        <v>5512987610</v>
      </c>
    </row>
    <row r="12" spans="5:12" x14ac:dyDescent="0.25">
      <c r="E12" s="14" t="s">
        <v>20</v>
      </c>
      <c r="F12" s="15">
        <v>9740111510</v>
      </c>
      <c r="G12" s="15">
        <v>10364191000</v>
      </c>
      <c r="H12" s="10">
        <v>20104302510</v>
      </c>
      <c r="I12" s="16">
        <f>I11/H11</f>
        <v>0.40462584608213797</v>
      </c>
      <c r="J12" s="16">
        <f>J11/H11</f>
        <v>0.32749603671776423</v>
      </c>
      <c r="K12" s="16">
        <f>K11/H11</f>
        <v>0.27653278497150907</v>
      </c>
      <c r="L12" s="16">
        <f>L11/H11</f>
        <v>0.27421929247522053</v>
      </c>
    </row>
    <row r="13" spans="5:12" x14ac:dyDescent="0.25">
      <c r="E13" t="s">
        <v>21</v>
      </c>
      <c r="F13" s="17">
        <f>F12-F11</f>
        <v>0</v>
      </c>
      <c r="G13" s="17">
        <f>G12-G11</f>
        <v>0</v>
      </c>
      <c r="H13" s="17">
        <f>H12-H11</f>
        <v>0</v>
      </c>
      <c r="I13" s="17"/>
    </row>
    <row r="14" spans="5:12" x14ac:dyDescent="0.25">
      <c r="F14" s="17"/>
      <c r="G14" s="17"/>
      <c r="H14" s="17"/>
      <c r="I14" s="17"/>
    </row>
    <row r="15" spans="5:12" ht="15.75" x14ac:dyDescent="0.25">
      <c r="E15" s="231" t="s">
        <v>211</v>
      </c>
      <c r="F15" s="232"/>
      <c r="G15" s="232"/>
      <c r="H15" s="233"/>
      <c r="I15" s="17"/>
    </row>
    <row r="16" spans="5:12" ht="31.5" x14ac:dyDescent="0.25">
      <c r="E16" s="18" t="s">
        <v>22</v>
      </c>
      <c r="F16" s="3" t="s">
        <v>224</v>
      </c>
      <c r="G16" s="3" t="s">
        <v>219</v>
      </c>
      <c r="H16" s="18" t="s">
        <v>25</v>
      </c>
      <c r="I16" s="17"/>
    </row>
    <row r="17" spans="4:12" ht="15.75" x14ac:dyDescent="0.25">
      <c r="E17" s="19" t="s">
        <v>26</v>
      </c>
      <c r="F17" s="20">
        <v>13840489817</v>
      </c>
      <c r="G17" s="20">
        <f>16482085435+1101547673</f>
        <v>17583633108</v>
      </c>
      <c r="H17" s="20">
        <f>+F17+G17</f>
        <v>31424122925</v>
      </c>
      <c r="I17" s="17"/>
    </row>
    <row r="18" spans="4:12" ht="15.75" x14ac:dyDescent="0.25">
      <c r="E18" s="19" t="s">
        <v>27</v>
      </c>
      <c r="F18" s="20">
        <v>2717000000</v>
      </c>
      <c r="G18" s="20">
        <v>3401545370</v>
      </c>
      <c r="H18" s="20">
        <f>+F18+G18</f>
        <v>6118545370</v>
      </c>
      <c r="I18" s="17"/>
    </row>
    <row r="19" spans="4:12" ht="15.75" x14ac:dyDescent="0.25">
      <c r="E19" s="1" t="s">
        <v>19</v>
      </c>
      <c r="F19" s="21">
        <f>+F17+F18</f>
        <v>16557489817</v>
      </c>
      <c r="G19" s="21">
        <f>+G17+G18</f>
        <v>20985178478</v>
      </c>
      <c r="H19" s="21">
        <f>+H17+H18</f>
        <v>37542668295</v>
      </c>
      <c r="I19" s="17"/>
    </row>
    <row r="20" spans="4:12" ht="15.75" customHeight="1" x14ac:dyDescent="0.25">
      <c r="F20" s="17"/>
      <c r="G20" s="17"/>
      <c r="H20" s="17"/>
      <c r="I20" s="17"/>
    </row>
    <row r="21" spans="4:12" ht="15.75" x14ac:dyDescent="0.25">
      <c r="E21" s="231" t="s">
        <v>211</v>
      </c>
      <c r="F21" s="232"/>
      <c r="G21" s="232"/>
      <c r="H21" s="233"/>
      <c r="I21" s="17"/>
    </row>
    <row r="22" spans="4:12" ht="31.5" x14ac:dyDescent="0.25">
      <c r="E22" s="18" t="s">
        <v>22</v>
      </c>
      <c r="F22" s="3" t="s">
        <v>23</v>
      </c>
      <c r="G22" s="3" t="s">
        <v>24</v>
      </c>
      <c r="H22" s="18" t="s">
        <v>25</v>
      </c>
      <c r="I22" s="17"/>
    </row>
    <row r="23" spans="4:12" ht="15.75" x14ac:dyDescent="0.25">
      <c r="E23" s="19" t="s">
        <v>26</v>
      </c>
      <c r="F23" s="20">
        <f>19702399548+1101547673-1287582498</f>
        <v>19516364723</v>
      </c>
      <c r="G23" s="20">
        <v>13962423033</v>
      </c>
      <c r="H23" s="20">
        <f>+F23+G23</f>
        <v>33478787756</v>
      </c>
      <c r="I23" s="17"/>
    </row>
    <row r="24" spans="4:12" ht="15.75" x14ac:dyDescent="0.25">
      <c r="E24" s="19" t="s">
        <v>27</v>
      </c>
      <c r="F24" s="20">
        <v>3401545370</v>
      </c>
      <c r="G24" s="20">
        <v>4782526100</v>
      </c>
      <c r="H24" s="20">
        <f>+F24+G24</f>
        <v>8184071470</v>
      </c>
      <c r="I24" s="17"/>
    </row>
    <row r="25" spans="4:12" ht="15.75" x14ac:dyDescent="0.25">
      <c r="E25" s="1" t="s">
        <v>19</v>
      </c>
      <c r="F25" s="21">
        <f>+F23+F24</f>
        <v>22917910093</v>
      </c>
      <c r="G25" s="21">
        <f>+G23+G24</f>
        <v>18744949133</v>
      </c>
      <c r="H25" s="21">
        <f>+H23+H24</f>
        <v>41662859226</v>
      </c>
    </row>
    <row r="26" spans="4:12" ht="15.75" x14ac:dyDescent="0.25">
      <c r="E26" s="22" t="s">
        <v>28</v>
      </c>
      <c r="F26" s="23">
        <f>+F25/$H$25</f>
        <v>0.5500801077689339</v>
      </c>
      <c r="G26" s="23">
        <f>+G25/$H$25</f>
        <v>0.44991989223106615</v>
      </c>
      <c r="H26" s="23">
        <f>+F26+G26</f>
        <v>1</v>
      </c>
    </row>
    <row r="27" spans="4:12" x14ac:dyDescent="0.25">
      <c r="F27" s="27"/>
    </row>
    <row r="28" spans="4:12" ht="31.5" x14ac:dyDescent="0.25">
      <c r="F28" s="2" t="s">
        <v>208</v>
      </c>
      <c r="G28" s="2" t="s">
        <v>209</v>
      </c>
      <c r="H28" s="3" t="s">
        <v>195</v>
      </c>
    </row>
    <row r="29" spans="4:12" ht="15.75" x14ac:dyDescent="0.25">
      <c r="F29" s="20">
        <v>41848894051</v>
      </c>
      <c r="G29" s="20">
        <v>38628579938</v>
      </c>
      <c r="H29" s="207">
        <f>+F29/G29</f>
        <v>1.083366101424611</v>
      </c>
    </row>
    <row r="31" spans="4:12" ht="31.5" x14ac:dyDescent="0.25">
      <c r="D31" s="24" t="s">
        <v>29</v>
      </c>
      <c r="E31" s="18" t="s">
        <v>212</v>
      </c>
      <c r="F31" s="2" t="s">
        <v>30</v>
      </c>
      <c r="G31" s="25" t="s">
        <v>9</v>
      </c>
      <c r="H31" s="25" t="s">
        <v>10</v>
      </c>
      <c r="I31" s="25" t="s">
        <v>11</v>
      </c>
      <c r="J31" s="25" t="s">
        <v>12</v>
      </c>
      <c r="L31" t="s">
        <v>31</v>
      </c>
    </row>
    <row r="32" spans="4:12" ht="15.75" x14ac:dyDescent="0.25">
      <c r="E32" s="205" t="s">
        <v>13</v>
      </c>
      <c r="F32" s="20">
        <v>17618955544</v>
      </c>
      <c r="G32" s="20">
        <v>16601644662</v>
      </c>
      <c r="H32" s="26">
        <v>16601644662</v>
      </c>
      <c r="I32" s="26">
        <v>16601644662</v>
      </c>
      <c r="J32" s="26">
        <v>16601184263</v>
      </c>
      <c r="L32" s="27">
        <f>F32-H5</f>
        <v>7873480799</v>
      </c>
    </row>
    <row r="33" spans="5:12" ht="15.75" x14ac:dyDescent="0.25">
      <c r="E33" s="205" t="s">
        <v>32</v>
      </c>
      <c r="F33" s="20">
        <v>14042921266</v>
      </c>
      <c r="G33" s="20">
        <v>13075111339.57</v>
      </c>
      <c r="H33" s="26">
        <v>13075111339.57</v>
      </c>
      <c r="I33" s="26">
        <v>5626351298.5699997</v>
      </c>
      <c r="J33" s="26">
        <v>5621723130.5699997</v>
      </c>
      <c r="L33" s="27">
        <f>F33-H6</f>
        <v>9907474669</v>
      </c>
    </row>
    <row r="34" spans="5:12" ht="15.75" x14ac:dyDescent="0.25">
      <c r="E34" s="205" t="s">
        <v>33</v>
      </c>
      <c r="F34" s="20">
        <v>1464008781</v>
      </c>
      <c r="G34" s="26">
        <v>796871154.13999999</v>
      </c>
      <c r="H34" s="26">
        <v>780039877.13999999</v>
      </c>
      <c r="I34" s="26">
        <v>588008377.13999999</v>
      </c>
      <c r="J34" s="26">
        <v>588008377.13999999</v>
      </c>
      <c r="L34" s="27" t="e">
        <f>F34-#REF!</f>
        <v>#REF!</v>
      </c>
    </row>
    <row r="35" spans="5:12" ht="15.75" x14ac:dyDescent="0.25">
      <c r="E35" s="205" t="s">
        <v>34</v>
      </c>
      <c r="F35" s="20">
        <v>242882195</v>
      </c>
      <c r="G35" s="26">
        <v>199254296</v>
      </c>
      <c r="H35" s="26">
        <v>199254296</v>
      </c>
      <c r="I35" s="26">
        <v>199254296</v>
      </c>
      <c r="J35" s="26">
        <v>199254296</v>
      </c>
      <c r="L35" s="27">
        <f>F35-H9</f>
        <v>36082195</v>
      </c>
    </row>
    <row r="36" spans="5:12" ht="15.75" x14ac:dyDescent="0.25">
      <c r="E36" s="205" t="s">
        <v>35</v>
      </c>
      <c r="F36" s="20">
        <v>110019970</v>
      </c>
      <c r="G36" s="26">
        <v>73131803</v>
      </c>
      <c r="H36" s="26">
        <v>73131803</v>
      </c>
      <c r="I36" s="26">
        <v>53525555</v>
      </c>
      <c r="J36" s="26">
        <v>53525555</v>
      </c>
      <c r="L36" s="27"/>
    </row>
    <row r="37" spans="5:12" ht="15.75" x14ac:dyDescent="0.25">
      <c r="E37" s="205" t="s">
        <v>18</v>
      </c>
      <c r="F37" s="20">
        <v>8184071470</v>
      </c>
      <c r="G37" s="26">
        <v>8164361732.3199997</v>
      </c>
      <c r="H37" s="26">
        <v>8143361924.3199997</v>
      </c>
      <c r="I37" s="26">
        <v>4330746076.75</v>
      </c>
      <c r="J37" s="26">
        <v>4330746076.75</v>
      </c>
      <c r="L37" s="27">
        <f>F37-H10</f>
        <v>5431940533</v>
      </c>
    </row>
    <row r="38" spans="5:12" ht="15.75" x14ac:dyDescent="0.25">
      <c r="E38" s="12" t="s">
        <v>19</v>
      </c>
      <c r="F38" s="13">
        <f>SUM(F32:F37)</f>
        <v>41662859226</v>
      </c>
      <c r="G38" s="13">
        <f>SUM(G32:G37)</f>
        <v>38910374987.029999</v>
      </c>
      <c r="H38" s="13">
        <f>SUM(H32:H37)</f>
        <v>38872543902.029999</v>
      </c>
      <c r="I38" s="13">
        <f>SUM(I32:I37)</f>
        <v>27399530265.459999</v>
      </c>
      <c r="J38" s="13">
        <f>SUM(J32:J37)</f>
        <v>27394441698.459999</v>
      </c>
    </row>
    <row r="39" spans="5:12" ht="15.75" x14ac:dyDescent="0.25">
      <c r="E39" s="28" t="s">
        <v>20</v>
      </c>
      <c r="F39" s="29"/>
      <c r="G39" s="182">
        <f>G38/F38</f>
        <v>0.93393434127890351</v>
      </c>
      <c r="H39" s="182">
        <f>H38/F38</f>
        <v>0.93302631226450528</v>
      </c>
      <c r="I39" s="182">
        <f>I38/F38</f>
        <v>0.65764882138384606</v>
      </c>
      <c r="J39" s="182">
        <f>J38/F38</f>
        <v>0.65752668461516206</v>
      </c>
    </row>
    <row r="40" spans="5:12" ht="15.75" x14ac:dyDescent="0.25">
      <c r="E40" s="28"/>
      <c r="F40" s="29"/>
      <c r="G40" s="30"/>
      <c r="H40" s="30"/>
      <c r="I40" s="30"/>
      <c r="J40" s="30"/>
    </row>
    <row r="41" spans="5:12" ht="15.75" x14ac:dyDescent="0.25">
      <c r="E41" s="28"/>
      <c r="F41" s="29"/>
      <c r="G41" s="30"/>
      <c r="H41" s="30"/>
      <c r="I41" s="30"/>
      <c r="J41" s="30"/>
    </row>
    <row r="42" spans="5:12" ht="31.5" x14ac:dyDescent="0.25">
      <c r="E42" s="18" t="s">
        <v>213</v>
      </c>
      <c r="F42" s="2" t="s">
        <v>30</v>
      </c>
      <c r="G42" s="31" t="s">
        <v>9</v>
      </c>
      <c r="H42" s="32" t="s">
        <v>36</v>
      </c>
      <c r="I42" s="32" t="s">
        <v>37</v>
      </c>
      <c r="J42" s="33"/>
    </row>
    <row r="43" spans="5:12" ht="15.75" x14ac:dyDescent="0.25">
      <c r="E43" s="8" t="s">
        <v>13</v>
      </c>
      <c r="F43" s="20">
        <v>13456392790</v>
      </c>
      <c r="G43" s="20">
        <v>519513653</v>
      </c>
      <c r="H43" s="26"/>
      <c r="I43" s="26">
        <f>F43-G43</f>
        <v>12936879137</v>
      </c>
      <c r="J43" s="34"/>
    </row>
    <row r="44" spans="5:12" ht="15.75" x14ac:dyDescent="0.25">
      <c r="E44" s="8" t="s">
        <v>32</v>
      </c>
      <c r="F44" s="20">
        <v>5121810182</v>
      </c>
      <c r="G44" s="20">
        <v>1534247306</v>
      </c>
      <c r="H44" s="26"/>
      <c r="I44" s="26">
        <f>F44-G44</f>
        <v>3587562876</v>
      </c>
      <c r="J44" s="34"/>
    </row>
    <row r="45" spans="5:12" ht="15.75" x14ac:dyDescent="0.25">
      <c r="E45" s="8" t="s">
        <v>33</v>
      </c>
      <c r="F45" s="20">
        <v>6033649075</v>
      </c>
      <c r="G45" s="20">
        <v>2500000</v>
      </c>
      <c r="H45" s="26">
        <v>5435320754</v>
      </c>
      <c r="I45" s="26">
        <f>F45-G45-H45</f>
        <v>595828321</v>
      </c>
      <c r="J45" s="34"/>
    </row>
    <row r="46" spans="5:12" ht="15.75" x14ac:dyDescent="0.25">
      <c r="E46" s="8" t="s">
        <v>34</v>
      </c>
      <c r="F46" s="20">
        <v>242882195</v>
      </c>
      <c r="G46" s="20">
        <v>9214056</v>
      </c>
      <c r="H46" s="26"/>
      <c r="I46" s="26">
        <f>F46-G46</f>
        <v>233668139</v>
      </c>
      <c r="J46" s="35"/>
    </row>
    <row r="47" spans="5:12" ht="15.75" x14ac:dyDescent="0.25">
      <c r="E47" s="8" t="s">
        <v>35</v>
      </c>
      <c r="F47" s="20">
        <v>103450360</v>
      </c>
      <c r="G47" s="20">
        <v>0</v>
      </c>
      <c r="H47" s="26"/>
      <c r="I47" s="26">
        <f>F47-G47</f>
        <v>103450360</v>
      </c>
      <c r="J47" s="35"/>
    </row>
    <row r="48" spans="5:12" ht="15.75" x14ac:dyDescent="0.25">
      <c r="E48" s="8" t="s">
        <v>18</v>
      </c>
      <c r="F48" s="20">
        <v>8492290121</v>
      </c>
      <c r="G48" s="20">
        <v>0</v>
      </c>
      <c r="H48" s="26"/>
      <c r="I48" s="26">
        <f>F48-G48</f>
        <v>8492290121</v>
      </c>
      <c r="J48" s="34"/>
    </row>
    <row r="49" spans="5:16" ht="15.75" x14ac:dyDescent="0.25">
      <c r="E49" s="12" t="s">
        <v>19</v>
      </c>
      <c r="F49" s="13">
        <f>SUM(F43:F48)</f>
        <v>33450474723</v>
      </c>
      <c r="G49" s="13">
        <f>SUM(G43:G48)</f>
        <v>2065475015</v>
      </c>
      <c r="H49" s="13">
        <f>SUM(H43:H48)</f>
        <v>5435320754</v>
      </c>
      <c r="I49" s="13">
        <f>SUM(I43:I48)</f>
        <v>25949678954</v>
      </c>
      <c r="J49" s="36"/>
    </row>
    <row r="50" spans="5:16" ht="15.75" x14ac:dyDescent="0.25">
      <c r="E50" s="28" t="s">
        <v>20</v>
      </c>
      <c r="F50" s="29"/>
      <c r="G50" s="30">
        <f>G49/F49</f>
        <v>6.1747255669881811E-2</v>
      </c>
      <c r="I50" s="30">
        <f>I49/F49</f>
        <v>0.77576414591681186</v>
      </c>
    </row>
    <row r="51" spans="5:16" ht="15.75" x14ac:dyDescent="0.25">
      <c r="E51" s="28"/>
      <c r="F51" s="29"/>
      <c r="G51" s="30"/>
      <c r="I51" s="27">
        <f>I49+H49+G49</f>
        <v>33450474723</v>
      </c>
    </row>
    <row r="52" spans="5:16" ht="15.75" x14ac:dyDescent="0.25">
      <c r="E52" s="28"/>
      <c r="F52" s="29"/>
      <c r="G52" s="37">
        <f>954917242-1062890992</f>
        <v>-107973750</v>
      </c>
      <c r="I52" s="38">
        <f>I50*F49</f>
        <v>25949678954</v>
      </c>
    </row>
    <row r="53" spans="5:16" ht="15.75" x14ac:dyDescent="0.25">
      <c r="E53" s="28" t="s">
        <v>38</v>
      </c>
      <c r="F53" s="39">
        <f>F49-H49</f>
        <v>28015153969</v>
      </c>
      <c r="G53" s="30">
        <f>F53/F49</f>
        <v>0.83751140158669368</v>
      </c>
    </row>
    <row r="54" spans="5:16" ht="15.75" x14ac:dyDescent="0.25">
      <c r="E54" s="28"/>
      <c r="F54" s="39"/>
      <c r="G54" s="30"/>
    </row>
    <row r="55" spans="5:16" ht="15.75" x14ac:dyDescent="0.25">
      <c r="E55" s="4" t="s">
        <v>213</v>
      </c>
      <c r="F55" s="4" t="s">
        <v>39</v>
      </c>
      <c r="G55" s="31" t="s">
        <v>9</v>
      </c>
      <c r="H55" s="40" t="s">
        <v>10</v>
      </c>
      <c r="I55" s="32" t="s">
        <v>11</v>
      </c>
      <c r="J55" s="32" t="s">
        <v>12</v>
      </c>
    </row>
    <row r="56" spans="5:16" ht="15.75" x14ac:dyDescent="0.25">
      <c r="E56" s="8" t="s">
        <v>40</v>
      </c>
      <c r="F56" s="9">
        <v>19516364723</v>
      </c>
      <c r="G56" s="9">
        <v>18134749126.830002</v>
      </c>
      <c r="H56" s="9">
        <v>18134749126.830002</v>
      </c>
      <c r="I56" s="41">
        <v>12811786578.83</v>
      </c>
      <c r="J56" s="41">
        <v>12811461512.83</v>
      </c>
    </row>
    <row r="57" spans="5:16" ht="15.75" x14ac:dyDescent="0.25">
      <c r="E57" s="8" t="s">
        <v>41</v>
      </c>
      <c r="F57" s="9">
        <v>13962423033</v>
      </c>
      <c r="G57" s="9">
        <v>12611264127.879999</v>
      </c>
      <c r="H57" s="9">
        <v>12594432850.879999</v>
      </c>
      <c r="I57" s="41">
        <v>10256997609.879999</v>
      </c>
      <c r="J57" s="41">
        <v>10252234108.879999</v>
      </c>
    </row>
    <row r="58" spans="5:16" ht="15.75" x14ac:dyDescent="0.25">
      <c r="E58" s="8" t="s">
        <v>42</v>
      </c>
      <c r="F58" s="9">
        <v>3401545370</v>
      </c>
      <c r="G58" s="9">
        <v>3399764972.9099998</v>
      </c>
      <c r="H58" s="9">
        <v>3399747956.9099998</v>
      </c>
      <c r="I58" s="41">
        <v>872497301.75</v>
      </c>
      <c r="J58" s="41">
        <v>872497301.75</v>
      </c>
    </row>
    <row r="59" spans="5:16" ht="15.75" x14ac:dyDescent="0.25">
      <c r="E59" s="8" t="s">
        <v>43</v>
      </c>
      <c r="F59" s="9">
        <v>4782526100</v>
      </c>
      <c r="G59" s="9">
        <v>4764596759.4099998</v>
      </c>
      <c r="H59" s="9">
        <v>4743613967.4099998</v>
      </c>
      <c r="I59" s="41">
        <v>3458248775</v>
      </c>
      <c r="J59" s="41">
        <v>3458248775</v>
      </c>
    </row>
    <row r="60" spans="5:16" ht="15.75" x14ac:dyDescent="0.25">
      <c r="E60" s="12" t="s">
        <v>19</v>
      </c>
      <c r="F60" s="13">
        <f>SUM(F56:F59)</f>
        <v>41662859226</v>
      </c>
      <c r="G60" s="42">
        <f>SUM(G56:G59)</f>
        <v>38910374987.029999</v>
      </c>
      <c r="H60" s="42">
        <f>SUM(H56:H59)</f>
        <v>38872543902.029999</v>
      </c>
      <c r="I60" s="42">
        <f>SUM(I56:I59)</f>
        <v>27399530265.459999</v>
      </c>
      <c r="J60" s="42">
        <f>SUM(J56:J59)</f>
        <v>27394441698.459999</v>
      </c>
    </row>
    <row r="61" spans="5:16" ht="15.75" x14ac:dyDescent="0.25">
      <c r="E61" s="28" t="s">
        <v>20</v>
      </c>
      <c r="F61" s="29"/>
      <c r="G61" s="182">
        <f>G60/F60</f>
        <v>0.93393434127890351</v>
      </c>
      <c r="H61" s="182">
        <f>H60/F60</f>
        <v>0.93302631226450528</v>
      </c>
      <c r="I61" s="182">
        <f>I60/F60</f>
        <v>0.65764882138384606</v>
      </c>
      <c r="J61" s="182">
        <f>J60/F60</f>
        <v>0.65752668461516206</v>
      </c>
    </row>
    <row r="62" spans="5:16" ht="31.5" x14ac:dyDescent="0.25">
      <c r="E62" s="28"/>
      <c r="F62" s="29"/>
      <c r="G62" s="30"/>
      <c r="L62" s="2" t="s">
        <v>44</v>
      </c>
      <c r="M62" s="4" t="s">
        <v>39</v>
      </c>
    </row>
    <row r="63" spans="5:16" ht="15.75" x14ac:dyDescent="0.25">
      <c r="E63" s="4" t="s">
        <v>213</v>
      </c>
      <c r="F63" s="4" t="s">
        <v>39</v>
      </c>
      <c r="G63" s="31" t="s">
        <v>9</v>
      </c>
      <c r="H63" s="40" t="s">
        <v>10</v>
      </c>
      <c r="I63" s="40" t="s">
        <v>11</v>
      </c>
      <c r="J63" s="31" t="s">
        <v>12</v>
      </c>
      <c r="L63" s="43" t="s">
        <v>45</v>
      </c>
      <c r="M63" s="43"/>
      <c r="N63" s="43"/>
      <c r="O63" s="43"/>
      <c r="P63" s="44">
        <f>P37+P38</f>
        <v>0</v>
      </c>
    </row>
    <row r="64" spans="5:16" ht="15.75" x14ac:dyDescent="0.25">
      <c r="E64" s="8" t="s">
        <v>46</v>
      </c>
      <c r="F64" s="9">
        <f>+F56+F57</f>
        <v>33478787756</v>
      </c>
      <c r="G64" s="9">
        <f>+G56+G57</f>
        <v>30746013254.709999</v>
      </c>
      <c r="H64" s="9">
        <f>+H56+H57</f>
        <v>30729181977.709999</v>
      </c>
      <c r="I64" s="9">
        <f>+I56+I57</f>
        <v>23068784188.709999</v>
      </c>
      <c r="J64" s="9">
        <f>+J56+J57</f>
        <v>23063695621.709999</v>
      </c>
      <c r="K64" s="24" t="s">
        <v>47</v>
      </c>
      <c r="L64" s="43" t="s">
        <v>48</v>
      </c>
      <c r="M64" s="43"/>
      <c r="N64" s="43"/>
      <c r="O64" s="43"/>
      <c r="P64" s="44">
        <f>P44+P45</f>
        <v>0</v>
      </c>
    </row>
    <row r="65" spans="5:16" ht="15.75" x14ac:dyDescent="0.25">
      <c r="E65" s="8" t="s">
        <v>18</v>
      </c>
      <c r="F65" s="9">
        <f>+F58+F59</f>
        <v>8184071470</v>
      </c>
      <c r="G65" s="9">
        <f>+G58+G59</f>
        <v>8164361732.3199997</v>
      </c>
      <c r="H65" s="9">
        <f>+H58+H59</f>
        <v>8143361924.3199997</v>
      </c>
      <c r="I65" s="9">
        <f>+I58+I59</f>
        <v>4330746076.75</v>
      </c>
      <c r="J65" s="9">
        <f>+J58+J59</f>
        <v>4330746076.75</v>
      </c>
      <c r="L65" s="43" t="s">
        <v>49</v>
      </c>
      <c r="M65" s="43"/>
      <c r="N65" s="43"/>
      <c r="O65" s="43"/>
      <c r="P65" s="44">
        <f>P32+P33+P34+P35+P39+P40+P41+P42+P43</f>
        <v>0</v>
      </c>
    </row>
    <row r="66" spans="5:16" ht="15.75" x14ac:dyDescent="0.25">
      <c r="E66" s="12" t="s">
        <v>19</v>
      </c>
      <c r="F66" s="13">
        <f>SUM(F64:F65)</f>
        <v>41662859226</v>
      </c>
      <c r="G66" s="42">
        <f>SUM(G64:G65)</f>
        <v>38910374987.029999</v>
      </c>
      <c r="H66" s="42">
        <f>SUM(H64:H65)</f>
        <v>38872543902.029999</v>
      </c>
      <c r="I66" s="42">
        <f>SUM(I64:I65)</f>
        <v>27399530265.459999</v>
      </c>
      <c r="J66" s="42">
        <f>SUM(J64:J65)</f>
        <v>27394441698.459999</v>
      </c>
    </row>
    <row r="67" spans="5:16" ht="15.75" x14ac:dyDescent="0.25">
      <c r="E67" s="28" t="s">
        <v>20</v>
      </c>
      <c r="F67" s="29"/>
      <c r="G67" s="182">
        <f>G66/F66</f>
        <v>0.93393434127890351</v>
      </c>
      <c r="H67" s="182">
        <f>H66/F66</f>
        <v>0.93302631226450528</v>
      </c>
      <c r="I67" s="182">
        <f>I66/F66</f>
        <v>0.65764882138384606</v>
      </c>
      <c r="J67" s="182">
        <f>J66/F66</f>
        <v>0.65752668461516206</v>
      </c>
    </row>
    <row r="68" spans="5:16" ht="15.75" x14ac:dyDescent="0.25">
      <c r="E68" s="28"/>
      <c r="F68" s="29"/>
      <c r="G68" s="30"/>
    </row>
    <row r="69" spans="5:16" ht="15.75" x14ac:dyDescent="0.25">
      <c r="E69" s="4" t="s">
        <v>213</v>
      </c>
      <c r="F69" s="4" t="s">
        <v>39</v>
      </c>
      <c r="G69" s="31" t="s">
        <v>9</v>
      </c>
      <c r="H69" s="40" t="s">
        <v>10</v>
      </c>
      <c r="I69" s="32" t="s">
        <v>11</v>
      </c>
      <c r="J69" s="32" t="s">
        <v>12</v>
      </c>
    </row>
    <row r="70" spans="5:16" ht="15.75" x14ac:dyDescent="0.25">
      <c r="E70" s="8" t="s">
        <v>40</v>
      </c>
      <c r="F70" s="9">
        <f>+F56</f>
        <v>19516364723</v>
      </c>
      <c r="G70" s="9">
        <f>+G56</f>
        <v>18134749126.830002</v>
      </c>
      <c r="H70" s="9">
        <f>+H56</f>
        <v>18134749126.830002</v>
      </c>
      <c r="I70" s="9">
        <f>+I56</f>
        <v>12811786578.83</v>
      </c>
      <c r="J70" s="9">
        <f>+J56</f>
        <v>12811461512.83</v>
      </c>
      <c r="K70" s="24" t="s">
        <v>47</v>
      </c>
    </row>
    <row r="71" spans="5:16" ht="15.75" x14ac:dyDescent="0.25">
      <c r="E71" s="8" t="s">
        <v>42</v>
      </c>
      <c r="F71" s="9">
        <f>+F58</f>
        <v>3401545370</v>
      </c>
      <c r="G71" s="9">
        <f>+G58</f>
        <v>3399764972.9099998</v>
      </c>
      <c r="H71" s="9">
        <f>+H58</f>
        <v>3399747956.9099998</v>
      </c>
      <c r="I71" s="9">
        <f>+I58</f>
        <v>872497301.75</v>
      </c>
      <c r="J71" s="9">
        <f>+J58</f>
        <v>872497301.75</v>
      </c>
    </row>
    <row r="72" spans="5:16" ht="15.75" x14ac:dyDescent="0.25">
      <c r="E72" s="12" t="s">
        <v>19</v>
      </c>
      <c r="F72" s="13">
        <f>SUM(F70:F71)</f>
        <v>22917910093</v>
      </c>
      <c r="G72" s="42">
        <f>SUM(G70:G71)</f>
        <v>21534514099.740002</v>
      </c>
      <c r="H72" s="42">
        <f>SUM(H70:H71)</f>
        <v>21534497083.740002</v>
      </c>
      <c r="I72" s="42">
        <f>SUM(I70:I71)</f>
        <v>13684283880.58</v>
      </c>
      <c r="J72" s="42">
        <f>SUM(J70:J71)</f>
        <v>13683958814.58</v>
      </c>
    </row>
    <row r="73" spans="5:16" ht="15.75" x14ac:dyDescent="0.25">
      <c r="E73" s="28" t="s">
        <v>20</v>
      </c>
      <c r="F73" s="29"/>
      <c r="G73" s="182">
        <f>G72/F72</f>
        <v>0.93963690460228566</v>
      </c>
      <c r="H73" s="182">
        <f>H72/F72</f>
        <v>0.93963616212620782</v>
      </c>
      <c r="I73" s="182">
        <f>I72/F72</f>
        <v>0.59709998970454548</v>
      </c>
      <c r="J73" s="182">
        <f>J72/F72</f>
        <v>0.59708580577596382</v>
      </c>
    </row>
    <row r="74" spans="5:16" ht="15.75" x14ac:dyDescent="0.25">
      <c r="E74" s="28"/>
      <c r="F74" s="29"/>
      <c r="G74" s="30"/>
      <c r="H74" s="30"/>
      <c r="I74" s="30"/>
      <c r="J74" s="30"/>
    </row>
    <row r="75" spans="5:16" ht="15.75" x14ac:dyDescent="0.25">
      <c r="E75" s="4" t="s">
        <v>213</v>
      </c>
      <c r="F75" s="4" t="s">
        <v>39</v>
      </c>
      <c r="G75" s="31" t="s">
        <v>9</v>
      </c>
      <c r="H75" s="40" t="s">
        <v>10</v>
      </c>
      <c r="I75" s="32" t="s">
        <v>11</v>
      </c>
      <c r="J75" s="32" t="s">
        <v>12</v>
      </c>
    </row>
    <row r="76" spans="5:16" ht="15.75" x14ac:dyDescent="0.25">
      <c r="E76" s="8" t="s">
        <v>41</v>
      </c>
      <c r="F76" s="9">
        <f>+F57</f>
        <v>13962423033</v>
      </c>
      <c r="G76" s="9">
        <f>+G57</f>
        <v>12611264127.879999</v>
      </c>
      <c r="H76" s="9">
        <f>+H57</f>
        <v>12594432850.879999</v>
      </c>
      <c r="I76" s="9">
        <f>+I57</f>
        <v>10256997609.879999</v>
      </c>
      <c r="J76" s="9">
        <f>+J57</f>
        <v>10252234108.879999</v>
      </c>
      <c r="K76" s="24" t="s">
        <v>47</v>
      </c>
    </row>
    <row r="77" spans="5:16" ht="15.75" x14ac:dyDescent="0.25">
      <c r="E77" s="8" t="s">
        <v>43</v>
      </c>
      <c r="F77" s="9">
        <f>+F59</f>
        <v>4782526100</v>
      </c>
      <c r="G77" s="9">
        <f>+G59</f>
        <v>4764596759.4099998</v>
      </c>
      <c r="H77" s="9">
        <f>+H59</f>
        <v>4743613967.4099998</v>
      </c>
      <c r="I77" s="9">
        <f>+I59</f>
        <v>3458248775</v>
      </c>
      <c r="J77" s="9">
        <f>+J59</f>
        <v>3458248775</v>
      </c>
    </row>
    <row r="78" spans="5:16" ht="15.75" x14ac:dyDescent="0.25">
      <c r="E78" s="12" t="s">
        <v>19</v>
      </c>
      <c r="F78" s="13">
        <f>SUM(F76:F77)</f>
        <v>18744949133</v>
      </c>
      <c r="G78" s="42">
        <f>SUM(G76:G77)</f>
        <v>17375860887.290001</v>
      </c>
      <c r="H78" s="42">
        <f>SUM(H76:H77)</f>
        <v>17338046818.290001</v>
      </c>
      <c r="I78" s="42">
        <f>SUM(I76:I77)</f>
        <v>13715246384.879999</v>
      </c>
      <c r="J78" s="42">
        <f>SUM(J76:J77)</f>
        <v>13710482883.879999</v>
      </c>
    </row>
    <row r="79" spans="5:16" ht="15.75" x14ac:dyDescent="0.25">
      <c r="E79" s="28" t="s">
        <v>20</v>
      </c>
      <c r="F79" s="29"/>
      <c r="G79" s="182">
        <f>G78/F78</f>
        <v>0.92696228536039316</v>
      </c>
      <c r="H79" s="182">
        <f>H78/F78</f>
        <v>0.92494499159599297</v>
      </c>
      <c r="I79" s="182">
        <f>I78/F78</f>
        <v>0.73167690600635782</v>
      </c>
      <c r="J79" s="182">
        <f>J78/F78</f>
        <v>0.73142278416445783</v>
      </c>
    </row>
    <row r="80" spans="5:16" ht="15.75" x14ac:dyDescent="0.25">
      <c r="E80" s="28"/>
      <c r="F80" s="39">
        <f>F78+F72</f>
        <v>41662859226</v>
      </c>
      <c r="G80" s="39">
        <f>G78+G72</f>
        <v>38910374987.029999</v>
      </c>
      <c r="H80" s="39">
        <f>H78+H72</f>
        <v>38872543902.029999</v>
      </c>
      <c r="I80" s="39">
        <f>I78+I72</f>
        <v>27399530265.459999</v>
      </c>
      <c r="J80" s="39">
        <f>J78+J72</f>
        <v>27394441698.459999</v>
      </c>
    </row>
    <row r="81" spans="5:13" ht="47.25" x14ac:dyDescent="0.25">
      <c r="E81" s="28"/>
      <c r="F81" s="45" t="s">
        <v>50</v>
      </c>
      <c r="G81" s="46">
        <f>G76-F76</f>
        <v>-1351158905.1200008</v>
      </c>
      <c r="H81" s="47">
        <f>G81+1200000000</f>
        <v>-151158905.12000084</v>
      </c>
      <c r="I81" t="s">
        <v>51</v>
      </c>
    </row>
    <row r="82" spans="5:13" ht="15.75" x14ac:dyDescent="0.25">
      <c r="E82" s="4" t="s">
        <v>52</v>
      </c>
      <c r="F82" s="4" t="s">
        <v>39</v>
      </c>
      <c r="G82" s="31" t="s">
        <v>9</v>
      </c>
      <c r="H82" s="48" t="s">
        <v>10</v>
      </c>
      <c r="I82" s="49" t="s">
        <v>11</v>
      </c>
      <c r="J82" s="32" t="s">
        <v>12</v>
      </c>
    </row>
    <row r="83" spans="5:13" ht="15.75" x14ac:dyDescent="0.25">
      <c r="E83" s="8" t="s">
        <v>45</v>
      </c>
      <c r="F83" s="9">
        <v>1387000000</v>
      </c>
      <c r="G83" s="9">
        <v>1313571990</v>
      </c>
      <c r="H83" s="9">
        <v>1313571990</v>
      </c>
      <c r="I83" s="9">
        <v>1066853190</v>
      </c>
      <c r="J83" s="9">
        <v>1066853190</v>
      </c>
    </row>
    <row r="84" spans="5:13" ht="15.75" x14ac:dyDescent="0.25">
      <c r="E84" s="8" t="s">
        <v>53</v>
      </c>
      <c r="F84" s="9">
        <v>730000000</v>
      </c>
      <c r="G84" s="9">
        <v>555094783</v>
      </c>
      <c r="H84" s="9">
        <v>555094783</v>
      </c>
      <c r="I84" s="9">
        <v>549094783</v>
      </c>
      <c r="J84" s="9">
        <v>549094783</v>
      </c>
    </row>
    <row r="85" spans="5:13" ht="15.75" x14ac:dyDescent="0.25">
      <c r="E85" s="8" t="s">
        <v>49</v>
      </c>
      <c r="F85" s="9">
        <v>6035000000</v>
      </c>
      <c r="G85" s="9">
        <v>5197176734</v>
      </c>
      <c r="H85" s="9">
        <v>5197176734</v>
      </c>
      <c r="I85" s="9">
        <v>2270243945</v>
      </c>
      <c r="J85" s="9">
        <v>2270243945</v>
      </c>
    </row>
    <row r="86" spans="5:13" ht="15.75" x14ac:dyDescent="0.25">
      <c r="E86" s="8" t="s">
        <v>54</v>
      </c>
      <c r="F86" s="9">
        <v>2700594774</v>
      </c>
      <c r="G86" s="9">
        <v>2567037617</v>
      </c>
      <c r="H86" s="9">
        <v>2567037617</v>
      </c>
      <c r="I86" s="9">
        <v>2016001754</v>
      </c>
      <c r="J86" s="9">
        <v>2016001754</v>
      </c>
    </row>
    <row r="87" spans="5:13" ht="15.75" x14ac:dyDescent="0.25">
      <c r="E87" s="12" t="s">
        <v>19</v>
      </c>
      <c r="F87" s="13">
        <f>SUM(F83:F86)</f>
        <v>10852594774</v>
      </c>
      <c r="G87" s="42">
        <f>SUM(G83:G86)</f>
        <v>9632881124</v>
      </c>
      <c r="H87" s="42">
        <f>SUM(H83:H86)</f>
        <v>9632881124</v>
      </c>
      <c r="I87" s="42">
        <f>SUM(I83:I86)</f>
        <v>5902193672</v>
      </c>
      <c r="J87" s="42">
        <f>SUM(J83:J86)</f>
        <v>5902193672</v>
      </c>
    </row>
    <row r="88" spans="5:13" ht="15.75" x14ac:dyDescent="0.25">
      <c r="E88" s="50"/>
      <c r="F88" s="51"/>
      <c r="G88" s="182">
        <f>G87/F87</f>
        <v>0.88761087321512111</v>
      </c>
      <c r="H88" s="182">
        <f>H87/F87</f>
        <v>0.88761087321512111</v>
      </c>
      <c r="I88" s="182">
        <f>I87/F87</f>
        <v>0.54385092182195216</v>
      </c>
      <c r="J88" s="182">
        <f>J87/F87</f>
        <v>0.54385092182195216</v>
      </c>
    </row>
    <row r="89" spans="5:13" ht="15.75" x14ac:dyDescent="0.25">
      <c r="E89" s="50"/>
      <c r="F89" s="51"/>
      <c r="G89" s="52"/>
      <c r="H89" s="52"/>
      <c r="I89" s="52"/>
      <c r="J89" s="52"/>
    </row>
    <row r="90" spans="5:13" ht="31.5" x14ac:dyDescent="0.25">
      <c r="E90" s="18" t="s">
        <v>55</v>
      </c>
      <c r="F90" s="3" t="s">
        <v>56</v>
      </c>
      <c r="G90" s="3" t="s">
        <v>234</v>
      </c>
      <c r="H90" s="25" t="s">
        <v>9</v>
      </c>
      <c r="I90" s="49" t="s">
        <v>37</v>
      </c>
      <c r="J90" s="48" t="s">
        <v>10</v>
      </c>
      <c r="K90" s="49" t="s">
        <v>11</v>
      </c>
      <c r="L90" s="49" t="s">
        <v>12</v>
      </c>
      <c r="M90" s="3" t="s">
        <v>57</v>
      </c>
    </row>
    <row r="91" spans="5:13" ht="45" customHeight="1" x14ac:dyDescent="0.25">
      <c r="E91" s="53" t="s">
        <v>233</v>
      </c>
      <c r="F91" s="225">
        <v>3401545370</v>
      </c>
      <c r="G91" s="213" t="s">
        <v>235</v>
      </c>
      <c r="H91" s="225">
        <v>3399764972.9099998</v>
      </c>
      <c r="I91" s="54">
        <f>+F91-H91</f>
        <v>1780397.0900001526</v>
      </c>
      <c r="J91" s="55">
        <v>3399747956.9099998</v>
      </c>
      <c r="K91" s="55">
        <v>872497301.75</v>
      </c>
      <c r="L91" s="55">
        <v>872497301.75</v>
      </c>
      <c r="M91" s="56"/>
    </row>
    <row r="92" spans="5:13" ht="45" customHeight="1" x14ac:dyDescent="0.25">
      <c r="E92" s="57" t="s">
        <v>233</v>
      </c>
      <c r="F92" s="225">
        <v>4315454630</v>
      </c>
      <c r="G92" s="213" t="s">
        <v>236</v>
      </c>
      <c r="H92" s="225">
        <v>4299305187.4099998</v>
      </c>
      <c r="I92" s="225">
        <f t="shared" ref="I92:I93" si="2">+F92-H92</f>
        <v>16149442.590000153</v>
      </c>
      <c r="J92" s="55">
        <v>4278322395.4099998</v>
      </c>
      <c r="K92" s="55">
        <v>2992957203</v>
      </c>
      <c r="L92" s="55">
        <v>2992957203</v>
      </c>
      <c r="M92" s="56"/>
    </row>
    <row r="93" spans="5:13" ht="30" x14ac:dyDescent="0.25">
      <c r="E93" s="57" t="s">
        <v>233</v>
      </c>
      <c r="F93" s="225">
        <v>467071470</v>
      </c>
      <c r="G93" s="214" t="s">
        <v>237</v>
      </c>
      <c r="H93" s="225">
        <v>465291572</v>
      </c>
      <c r="I93" s="225">
        <f t="shared" si="2"/>
        <v>1779898</v>
      </c>
      <c r="J93" s="55">
        <v>465291572</v>
      </c>
      <c r="K93" s="55">
        <v>465291572</v>
      </c>
      <c r="L93" s="55">
        <v>465291572</v>
      </c>
      <c r="M93" s="56"/>
    </row>
    <row r="94" spans="5:13" ht="79.900000000000006" hidden="1" customHeight="1" x14ac:dyDescent="0.25">
      <c r="E94" s="57"/>
      <c r="F94" s="54"/>
      <c r="G94" s="54"/>
      <c r="H94" s="54"/>
      <c r="I94" s="54">
        <f t="shared" ref="I94:I96" si="3">+F94+G94-H94</f>
        <v>0</v>
      </c>
      <c r="J94" s="55"/>
      <c r="K94" s="55"/>
      <c r="L94" s="55"/>
      <c r="M94" s="56"/>
    </row>
    <row r="95" spans="5:13" ht="15.75" hidden="1" x14ac:dyDescent="0.25">
      <c r="E95" s="57"/>
      <c r="F95" s="54"/>
      <c r="G95" s="54"/>
      <c r="H95" s="54"/>
      <c r="I95" s="54">
        <f t="shared" si="3"/>
        <v>0</v>
      </c>
      <c r="J95" s="55"/>
      <c r="K95" s="55"/>
      <c r="L95" s="55"/>
      <c r="M95" s="56"/>
    </row>
    <row r="96" spans="5:13" ht="15.75" hidden="1" x14ac:dyDescent="0.25">
      <c r="E96" s="58"/>
      <c r="F96" s="54"/>
      <c r="G96" s="54"/>
      <c r="H96" s="54"/>
      <c r="I96" s="54">
        <f t="shared" si="3"/>
        <v>0</v>
      </c>
      <c r="J96" s="55"/>
      <c r="K96" s="55"/>
      <c r="L96" s="55"/>
      <c r="M96" s="56"/>
    </row>
    <row r="97" spans="5:13" ht="15.75" x14ac:dyDescent="0.25">
      <c r="E97" s="1" t="s">
        <v>19</v>
      </c>
      <c r="F97" s="59">
        <f t="shared" ref="F97:K97" si="4">SUM(F91:F96)</f>
        <v>8184071470</v>
      </c>
      <c r="G97" s="59">
        <f t="shared" si="4"/>
        <v>0</v>
      </c>
      <c r="H97" s="59">
        <f t="shared" si="4"/>
        <v>8164361732.3199997</v>
      </c>
      <c r="I97" s="59">
        <f t="shared" si="4"/>
        <v>19709737.680000305</v>
      </c>
      <c r="J97" s="59">
        <f t="shared" si="4"/>
        <v>8143361924.3199997</v>
      </c>
      <c r="K97" s="59">
        <f t="shared" si="4"/>
        <v>4330746076.75</v>
      </c>
      <c r="L97" s="59">
        <f>SUM(L91:L96)</f>
        <v>4330746076.75</v>
      </c>
      <c r="M97" s="13">
        <f>SUM(M91:M96)</f>
        <v>0</v>
      </c>
    </row>
    <row r="98" spans="5:13" ht="15.75" x14ac:dyDescent="0.25">
      <c r="E98" s="224"/>
      <c r="F98" s="182"/>
      <c r="G98" s="182"/>
      <c r="H98" s="182">
        <f>+H97/F97</f>
        <v>0.99759169531299308</v>
      </c>
      <c r="I98" s="182">
        <f>+I97/$F$97</f>
        <v>2.4083046870068824E-3</v>
      </c>
      <c r="J98" s="182">
        <f t="shared" ref="J98:M98" si="5">+J97/$F$97</f>
        <v>0.99502575877676191</v>
      </c>
      <c r="K98" s="182">
        <f t="shared" si="5"/>
        <v>0.52916767560315547</v>
      </c>
      <c r="L98" s="182">
        <f t="shared" si="5"/>
        <v>0.52916767560315547</v>
      </c>
      <c r="M98" s="182">
        <f t="shared" si="5"/>
        <v>0</v>
      </c>
    </row>
    <row r="99" spans="5:13" ht="31.5" x14ac:dyDescent="0.25">
      <c r="E99" s="28"/>
      <c r="F99" s="244" t="s">
        <v>62</v>
      </c>
      <c r="G99" s="32" t="s">
        <v>63</v>
      </c>
      <c r="H99" s="31" t="s">
        <v>9</v>
      </c>
      <c r="I99" s="32" t="s">
        <v>37</v>
      </c>
      <c r="J99" s="40" t="s">
        <v>10</v>
      </c>
      <c r="K99" s="32" t="s">
        <v>11</v>
      </c>
      <c r="L99" s="32" t="s">
        <v>12</v>
      </c>
    </row>
    <row r="100" spans="5:13" ht="15.75" x14ac:dyDescent="0.25">
      <c r="E100" s="28"/>
      <c r="F100" s="245"/>
      <c r="G100" s="60" t="s">
        <v>175</v>
      </c>
      <c r="H100" s="61">
        <f>H97</f>
        <v>8164361732.3199997</v>
      </c>
      <c r="I100" s="61">
        <f>I97</f>
        <v>19709737.680000305</v>
      </c>
      <c r="J100" s="61">
        <f>J97</f>
        <v>8143361924.3199997</v>
      </c>
      <c r="K100" s="61">
        <f>K97</f>
        <v>4330746076.75</v>
      </c>
      <c r="L100" s="61">
        <f>L97</f>
        <v>4330746076.75</v>
      </c>
    </row>
    <row r="101" spans="5:13" ht="15.75" x14ac:dyDescent="0.25">
      <c r="E101" s="28"/>
      <c r="F101" s="245"/>
      <c r="G101" s="60" t="s">
        <v>64</v>
      </c>
      <c r="H101" s="61">
        <v>7202254047.8999996</v>
      </c>
      <c r="I101" s="61">
        <v>152079851.09999999</v>
      </c>
      <c r="J101" s="61">
        <v>7201111108.8999996</v>
      </c>
      <c r="K101" s="61">
        <v>5514529286.8999996</v>
      </c>
      <c r="L101" s="61">
        <v>4621650988.8999996</v>
      </c>
    </row>
    <row r="102" spans="5:13" ht="15.75" x14ac:dyDescent="0.25">
      <c r="E102" s="28"/>
      <c r="F102" s="245"/>
      <c r="G102" s="62" t="s">
        <v>21</v>
      </c>
      <c r="H102" s="61">
        <f>H100-H101</f>
        <v>962107684.42000008</v>
      </c>
      <c r="I102" s="61">
        <f>I100-I101</f>
        <v>-132370113.41999969</v>
      </c>
      <c r="J102" s="61">
        <f>J100-J101</f>
        <v>942250815.42000008</v>
      </c>
      <c r="K102" s="61">
        <f>K100-K101</f>
        <v>-1183783210.1499996</v>
      </c>
      <c r="L102" s="61">
        <f>L100-L101</f>
        <v>-290904912.14999962</v>
      </c>
    </row>
    <row r="103" spans="5:13" ht="18" x14ac:dyDescent="0.25">
      <c r="E103" s="28"/>
      <c r="F103" s="245"/>
      <c r="G103" s="62" t="s">
        <v>62</v>
      </c>
      <c r="H103" s="63">
        <f>(H100-H101)/(H101)*100%</f>
        <v>0.13358424710115954</v>
      </c>
      <c r="I103" s="63">
        <f>(I100-I101)/(I101)*100%</f>
        <v>-0.87039875738015959</v>
      </c>
      <c r="J103" s="63">
        <f>(J100-J101)/(J101)*100%</f>
        <v>0.13084797625958766</v>
      </c>
      <c r="K103" s="63">
        <f>(K100-K101)/(K101)*100%</f>
        <v>-0.21466622962038254</v>
      </c>
      <c r="L103" s="63">
        <f>(L100-L101)/(L101)*100%</f>
        <v>-6.2943937750530574E-2</v>
      </c>
    </row>
    <row r="104" spans="5:13" ht="15.75" x14ac:dyDescent="0.25">
      <c r="E104" s="28"/>
      <c r="F104" s="29"/>
      <c r="G104" s="30"/>
    </row>
    <row r="105" spans="5:13" ht="18" x14ac:dyDescent="0.25">
      <c r="E105" s="64" t="s">
        <v>65</v>
      </c>
      <c r="F105" s="65" t="s">
        <v>66</v>
      </c>
      <c r="G105" s="66" t="s">
        <v>66</v>
      </c>
      <c r="H105" s="67" t="s">
        <v>62</v>
      </c>
      <c r="I105" s="67" t="s">
        <v>67</v>
      </c>
      <c r="J105">
        <v>2203183807</v>
      </c>
      <c r="K105">
        <v>762117145</v>
      </c>
      <c r="L105">
        <v>429331645</v>
      </c>
      <c r="M105">
        <v>426369414</v>
      </c>
    </row>
    <row r="106" spans="5:13" ht="18" x14ac:dyDescent="0.25">
      <c r="E106" s="68" t="s">
        <v>39</v>
      </c>
      <c r="F106" s="69">
        <v>31137602689</v>
      </c>
      <c r="G106" s="70">
        <f>F38</f>
        <v>41662859226</v>
      </c>
      <c r="H106" s="70">
        <f>F106-G106</f>
        <v>-10525256537</v>
      </c>
      <c r="I106" s="63">
        <f>(G106-F106)/(F106)*100%</f>
        <v>0.33802398476611895</v>
      </c>
    </row>
    <row r="107" spans="5:13" ht="18" x14ac:dyDescent="0.25">
      <c r="E107" s="71" t="s">
        <v>9</v>
      </c>
      <c r="F107" s="69">
        <v>29810827508</v>
      </c>
      <c r="G107" s="70">
        <f>G38</f>
        <v>38910374987.029999</v>
      </c>
      <c r="H107" s="70">
        <f>F107-G107</f>
        <v>-9099547479.0299988</v>
      </c>
      <c r="I107" s="63">
        <f>(G107-F107)/(F107)*100%</f>
        <v>0.30524303549064696</v>
      </c>
    </row>
    <row r="108" spans="5:13" ht="18" x14ac:dyDescent="0.25">
      <c r="E108" s="71" t="s">
        <v>10</v>
      </c>
      <c r="F108" s="69">
        <v>29780021888</v>
      </c>
      <c r="G108" s="70">
        <f>H38</f>
        <v>38872543902.029999</v>
      </c>
      <c r="H108" s="70">
        <f>F108-G108</f>
        <v>-9092522014.0299988</v>
      </c>
      <c r="I108" s="63">
        <f>(G108-F108)/(F108)*100%</f>
        <v>0.30532287881540721</v>
      </c>
    </row>
    <row r="109" spans="5:13" ht="18" x14ac:dyDescent="0.25">
      <c r="E109" s="68" t="s">
        <v>11</v>
      </c>
      <c r="F109" s="69">
        <v>25329649941</v>
      </c>
      <c r="G109" s="70">
        <f>I38</f>
        <v>27399530265.459999</v>
      </c>
      <c r="H109" s="70">
        <f>F109-G109</f>
        <v>-2069880324.4599991</v>
      </c>
      <c r="I109" s="63">
        <f>(G109-F109)/(F109)*100%</f>
        <v>8.1717683792762327E-2</v>
      </c>
    </row>
    <row r="110" spans="5:13" ht="18" x14ac:dyDescent="0.25">
      <c r="E110" s="72" t="s">
        <v>12</v>
      </c>
      <c r="F110" s="69">
        <v>24887881202</v>
      </c>
      <c r="G110" s="70">
        <f>J38</f>
        <v>27394441698.459999</v>
      </c>
      <c r="H110" s="70">
        <f>F110-G110</f>
        <v>-2506560496.4599991</v>
      </c>
      <c r="I110" s="63">
        <f>(G110-F110)/(F110)*100%</f>
        <v>0.10071409760098705</v>
      </c>
    </row>
    <row r="111" spans="5:13" ht="15.75" x14ac:dyDescent="0.25">
      <c r="E111" s="28"/>
    </row>
    <row r="112" spans="5:13" ht="36" x14ac:dyDescent="0.25">
      <c r="E112" s="64" t="s">
        <v>68</v>
      </c>
      <c r="F112" s="73" t="s">
        <v>30</v>
      </c>
      <c r="G112" s="65" t="s">
        <v>9</v>
      </c>
      <c r="H112" s="74" t="s">
        <v>10</v>
      </c>
      <c r="I112" s="74" t="s">
        <v>11</v>
      </c>
      <c r="J112" s="65" t="s">
        <v>12</v>
      </c>
    </row>
    <row r="113" spans="5:13" ht="18" x14ac:dyDescent="0.25">
      <c r="E113" s="78">
        <v>2024</v>
      </c>
      <c r="F113" s="75">
        <v>38376620664</v>
      </c>
      <c r="G113" s="75">
        <v>35337360229.779999</v>
      </c>
      <c r="H113" s="76">
        <v>35046713884.580002</v>
      </c>
      <c r="I113" s="76">
        <v>28161117528.830002</v>
      </c>
      <c r="J113" s="77">
        <v>28076732747.830002</v>
      </c>
      <c r="K113">
        <v>12732386476.02</v>
      </c>
      <c r="L113">
        <v>12732386476.02</v>
      </c>
      <c r="M113">
        <v>12732386476.02</v>
      </c>
    </row>
    <row r="114" spans="5:13" ht="18" x14ac:dyDescent="0.25">
      <c r="E114" s="78">
        <v>2025</v>
      </c>
      <c r="F114" s="79">
        <f>F38</f>
        <v>41662859226</v>
      </c>
      <c r="G114" s="79">
        <f>G38</f>
        <v>38910374987.029999</v>
      </c>
      <c r="H114" s="80">
        <f>H38</f>
        <v>38872543902.029999</v>
      </c>
      <c r="I114" s="80">
        <f>I38</f>
        <v>27399530265.459999</v>
      </c>
      <c r="J114" s="79">
        <f>J38</f>
        <v>27394441698.459999</v>
      </c>
      <c r="K114" t="s">
        <v>69</v>
      </c>
    </row>
    <row r="115" spans="5:13" ht="18" x14ac:dyDescent="0.25">
      <c r="E115" s="81" t="s">
        <v>70</v>
      </c>
      <c r="F115" s="82">
        <f>F114-F113</f>
        <v>3286238562</v>
      </c>
      <c r="G115" s="82">
        <f>G114-G113</f>
        <v>3573014757.25</v>
      </c>
      <c r="H115" s="82">
        <f>H114-H113</f>
        <v>3825830017.4499969</v>
      </c>
      <c r="I115" s="82">
        <f>I114-I113</f>
        <v>-761587263.37000275</v>
      </c>
      <c r="J115" s="82">
        <f>J114-J113</f>
        <v>-682291049.37000275</v>
      </c>
    </row>
    <row r="116" spans="5:13" ht="18" x14ac:dyDescent="0.25">
      <c r="E116" s="83" t="s">
        <v>67</v>
      </c>
      <c r="F116" s="215">
        <f>(F114-F113)/F113</f>
        <v>8.5631264690346362E-2</v>
      </c>
      <c r="G116" s="215">
        <f>(G114-G113)/G113</f>
        <v>0.1011115356103736</v>
      </c>
      <c r="H116" s="215">
        <f>(H114-H113)/H113</f>
        <v>0.10916373015882957</v>
      </c>
      <c r="I116" s="215">
        <f>(I114-I113)/I113</f>
        <v>-2.704392901277182E-2</v>
      </c>
      <c r="J116" s="215">
        <f>(J114-J113)/J113</f>
        <v>-2.430094183315314E-2</v>
      </c>
    </row>
    <row r="117" spans="5:13" ht="15.75" x14ac:dyDescent="0.25">
      <c r="E117" s="28"/>
      <c r="F117" s="29"/>
      <c r="G117" s="30"/>
    </row>
    <row r="118" spans="5:13" ht="47.25" x14ac:dyDescent="0.25">
      <c r="E118" s="84" t="s">
        <v>71</v>
      </c>
      <c r="F118" s="32" t="s">
        <v>72</v>
      </c>
      <c r="G118" s="32" t="s">
        <v>73</v>
      </c>
      <c r="H118" s="32" t="s">
        <v>37</v>
      </c>
    </row>
    <row r="119" spans="5:13" ht="15.75" x14ac:dyDescent="0.25">
      <c r="E119" s="85" t="s">
        <v>74</v>
      </c>
      <c r="F119" s="86">
        <v>59557733.700000003</v>
      </c>
      <c r="G119" s="86"/>
      <c r="H119" s="86">
        <f>F119+G119</f>
        <v>59557733.700000003</v>
      </c>
    </row>
    <row r="120" spans="5:13" ht="30" x14ac:dyDescent="0.25">
      <c r="E120" s="85" t="s">
        <v>75</v>
      </c>
      <c r="F120" s="86">
        <v>57355274</v>
      </c>
      <c r="G120" s="86"/>
      <c r="H120" s="86">
        <f t="shared" ref="H120:H131" si="6">F120+G120</f>
        <v>57355274</v>
      </c>
    </row>
    <row r="121" spans="5:13" ht="30" x14ac:dyDescent="0.25">
      <c r="E121" s="85" t="s">
        <v>76</v>
      </c>
      <c r="F121" s="86">
        <v>606412</v>
      </c>
      <c r="G121" s="86"/>
      <c r="H121" s="86">
        <f t="shared" si="6"/>
        <v>606412</v>
      </c>
    </row>
    <row r="122" spans="5:13" ht="15.75" x14ac:dyDescent="0.25">
      <c r="E122" s="85" t="s">
        <v>74</v>
      </c>
      <c r="F122" s="86">
        <v>11742120</v>
      </c>
      <c r="G122" s="86">
        <v>5258349</v>
      </c>
      <c r="H122" s="86">
        <f t="shared" si="6"/>
        <v>17000469</v>
      </c>
    </row>
    <row r="123" spans="5:13" ht="30" x14ac:dyDescent="0.25">
      <c r="E123" s="85" t="s">
        <v>75</v>
      </c>
      <c r="F123" s="86">
        <v>7389021</v>
      </c>
      <c r="G123" s="86">
        <v>27509492</v>
      </c>
      <c r="H123" s="86">
        <f t="shared" si="6"/>
        <v>34898513</v>
      </c>
    </row>
    <row r="124" spans="5:13" ht="30" x14ac:dyDescent="0.25">
      <c r="E124" s="85" t="s">
        <v>76</v>
      </c>
      <c r="F124" s="86">
        <v>2547506</v>
      </c>
      <c r="G124" s="86">
        <v>6603001</v>
      </c>
      <c r="H124" s="86">
        <f t="shared" si="6"/>
        <v>9150507</v>
      </c>
    </row>
    <row r="125" spans="5:13" ht="30" x14ac:dyDescent="0.25">
      <c r="E125" s="85" t="s">
        <v>77</v>
      </c>
      <c r="F125" s="86">
        <v>918</v>
      </c>
      <c r="G125" s="86">
        <v>12227400</v>
      </c>
      <c r="H125" s="86">
        <f t="shared" si="6"/>
        <v>12228318</v>
      </c>
    </row>
    <row r="126" spans="5:13" ht="15.75" x14ac:dyDescent="0.25">
      <c r="E126" s="85" t="s">
        <v>78</v>
      </c>
      <c r="F126" s="86">
        <v>195317215</v>
      </c>
      <c r="G126" s="86">
        <v>403603012</v>
      </c>
      <c r="H126" s="86">
        <f t="shared" si="6"/>
        <v>598920227</v>
      </c>
    </row>
    <row r="127" spans="5:13" ht="30" x14ac:dyDescent="0.25">
      <c r="E127" s="85" t="s">
        <v>79</v>
      </c>
      <c r="F127" s="86"/>
      <c r="G127" s="86">
        <v>11192608</v>
      </c>
      <c r="H127" s="86">
        <f t="shared" si="6"/>
        <v>11192608</v>
      </c>
    </row>
    <row r="128" spans="5:13" ht="15.75" x14ac:dyDescent="0.25">
      <c r="E128" s="85" t="s">
        <v>80</v>
      </c>
      <c r="F128" s="86"/>
      <c r="G128" s="86">
        <v>60000000</v>
      </c>
      <c r="H128" s="86">
        <f t="shared" si="6"/>
        <v>60000000</v>
      </c>
    </row>
    <row r="129" spans="5:9" ht="15.75" x14ac:dyDescent="0.25">
      <c r="E129" s="85" t="s">
        <v>81</v>
      </c>
      <c r="F129" s="86"/>
      <c r="G129" s="86">
        <v>49992910</v>
      </c>
      <c r="H129" s="86">
        <f t="shared" si="6"/>
        <v>49992910</v>
      </c>
    </row>
    <row r="130" spans="5:9" ht="15.75" x14ac:dyDescent="0.25">
      <c r="E130" s="85" t="s">
        <v>82</v>
      </c>
      <c r="F130" s="86"/>
      <c r="G130" s="86">
        <v>17644558</v>
      </c>
      <c r="H130" s="86">
        <f t="shared" si="6"/>
        <v>17644558</v>
      </c>
    </row>
    <row r="131" spans="5:9" ht="15.75" x14ac:dyDescent="0.25">
      <c r="E131" s="85" t="s">
        <v>83</v>
      </c>
      <c r="F131" s="86"/>
      <c r="G131" s="86">
        <v>28428299</v>
      </c>
      <c r="H131" s="86">
        <f t="shared" si="6"/>
        <v>28428299</v>
      </c>
    </row>
    <row r="132" spans="5:9" ht="15.75" x14ac:dyDescent="0.25">
      <c r="E132" s="87" t="s">
        <v>84</v>
      </c>
      <c r="F132" s="88">
        <f>SUM(F119:F131)</f>
        <v>334516199.69999999</v>
      </c>
      <c r="G132" s="88">
        <f>SUM(G119:G131)</f>
        <v>622459629</v>
      </c>
      <c r="H132" s="88">
        <f>SUM(H119:H131)</f>
        <v>956975828.70000005</v>
      </c>
    </row>
    <row r="133" spans="5:9" ht="47.25" x14ac:dyDescent="0.25">
      <c r="E133" s="84" t="s">
        <v>71</v>
      </c>
      <c r="F133" s="32" t="s">
        <v>72</v>
      </c>
      <c r="G133" s="32" t="s">
        <v>73</v>
      </c>
      <c r="H133" s="32" t="s">
        <v>37</v>
      </c>
    </row>
    <row r="134" spans="5:9" ht="71.25" x14ac:dyDescent="0.25">
      <c r="E134" s="89" t="s">
        <v>58</v>
      </c>
      <c r="F134" s="86">
        <v>52593</v>
      </c>
      <c r="G134" s="86">
        <v>7792336</v>
      </c>
      <c r="H134" s="86">
        <f>F134+G134</f>
        <v>7844929</v>
      </c>
    </row>
    <row r="135" spans="5:9" ht="85.5" x14ac:dyDescent="0.25">
      <c r="E135" s="89" t="s">
        <v>59</v>
      </c>
      <c r="F135" s="86">
        <v>10000000</v>
      </c>
      <c r="G135" s="86">
        <v>15427848</v>
      </c>
      <c r="H135" s="86">
        <f>F135+G135</f>
        <v>25427848</v>
      </c>
    </row>
    <row r="136" spans="5:9" ht="71.25" x14ac:dyDescent="0.25">
      <c r="E136" s="89" t="s">
        <v>60</v>
      </c>
      <c r="F136" s="86">
        <v>23085162</v>
      </c>
      <c r="G136" s="86">
        <v>27564838</v>
      </c>
      <c r="H136" s="86">
        <f>F136+G136</f>
        <v>50650000</v>
      </c>
    </row>
    <row r="137" spans="5:9" ht="85.5" x14ac:dyDescent="0.25">
      <c r="E137" s="89" t="s">
        <v>61</v>
      </c>
      <c r="F137" s="86">
        <v>8420024</v>
      </c>
      <c r="G137" s="86">
        <v>37976877</v>
      </c>
      <c r="H137" s="86">
        <f>F137+G137</f>
        <v>46396901</v>
      </c>
    </row>
    <row r="138" spans="5:9" ht="15.75" x14ac:dyDescent="0.25">
      <c r="E138" s="90" t="s">
        <v>85</v>
      </c>
      <c r="F138" s="88">
        <f>SUM(F134:F137)</f>
        <v>41557779</v>
      </c>
      <c r="G138" s="88">
        <f>SUM(G134:G137)</f>
        <v>88761899</v>
      </c>
      <c r="H138" s="88">
        <f>SUM(H134:H137)</f>
        <v>130319678</v>
      </c>
    </row>
    <row r="139" spans="5:9" ht="15.75" x14ac:dyDescent="0.25">
      <c r="E139" s="28"/>
      <c r="F139" s="29"/>
      <c r="G139" s="30"/>
    </row>
    <row r="140" spans="5:9" ht="15.75" x14ac:dyDescent="0.25">
      <c r="E140" s="28"/>
      <c r="F140" s="29"/>
      <c r="G140" s="30"/>
    </row>
    <row r="141" spans="5:9" ht="31.5" x14ac:dyDescent="0.25">
      <c r="E141" s="91" t="s">
        <v>86</v>
      </c>
      <c r="F141" s="92" t="s">
        <v>30</v>
      </c>
      <c r="G141" s="93" t="s">
        <v>9</v>
      </c>
      <c r="H141" s="94" t="s">
        <v>10</v>
      </c>
      <c r="I141" s="95" t="s">
        <v>87</v>
      </c>
    </row>
    <row r="142" spans="5:9" ht="15.75" x14ac:dyDescent="0.25">
      <c r="E142" s="8" t="s">
        <v>13</v>
      </c>
      <c r="F142" s="9">
        <v>9629779804</v>
      </c>
      <c r="G142" s="26">
        <v>9416608661</v>
      </c>
      <c r="H142" s="26">
        <v>9354143165</v>
      </c>
      <c r="I142" s="26">
        <f t="shared" ref="I142:I147" si="7">G142-H142</f>
        <v>62465496</v>
      </c>
    </row>
    <row r="143" spans="5:9" ht="15.75" x14ac:dyDescent="0.25">
      <c r="E143" s="8" t="s">
        <v>32</v>
      </c>
      <c r="F143" s="9">
        <v>5212182900</v>
      </c>
      <c r="G143" s="26">
        <v>5170842441</v>
      </c>
      <c r="H143" s="26">
        <v>5050567773</v>
      </c>
      <c r="I143" s="26">
        <f t="shared" si="7"/>
        <v>120274668</v>
      </c>
    </row>
    <row r="144" spans="5:9" ht="15.75" x14ac:dyDescent="0.25">
      <c r="E144" s="8" t="s">
        <v>33</v>
      </c>
      <c r="F144" s="9">
        <v>525000000</v>
      </c>
      <c r="G144" s="26">
        <v>464870713</v>
      </c>
      <c r="H144" s="26">
        <v>457775365</v>
      </c>
      <c r="I144" s="26">
        <f t="shared" si="7"/>
        <v>7095348</v>
      </c>
    </row>
    <row r="145" spans="5:9" ht="15.75" x14ac:dyDescent="0.25">
      <c r="E145" s="8" t="s">
        <v>34</v>
      </c>
      <c r="F145" s="9">
        <v>200000000</v>
      </c>
      <c r="G145" s="26">
        <v>152846849</v>
      </c>
      <c r="H145" s="26">
        <v>148491154</v>
      </c>
      <c r="I145" s="26">
        <f t="shared" si="7"/>
        <v>4355695</v>
      </c>
    </row>
    <row r="146" spans="5:9" ht="30.75" x14ac:dyDescent="0.25">
      <c r="E146" s="11" t="s">
        <v>88</v>
      </c>
      <c r="F146" s="9">
        <v>52178500</v>
      </c>
      <c r="G146" s="26">
        <v>24589500</v>
      </c>
      <c r="H146" s="26">
        <v>22178500</v>
      </c>
      <c r="I146" s="26">
        <f t="shared" si="7"/>
        <v>2411000</v>
      </c>
    </row>
    <row r="147" spans="5:9" ht="15.75" x14ac:dyDescent="0.25">
      <c r="E147" s="8" t="s">
        <v>18</v>
      </c>
      <c r="F147" s="9">
        <v>3374368879</v>
      </c>
      <c r="G147" s="26">
        <v>3364538464</v>
      </c>
      <c r="H147" s="26">
        <v>3356928315</v>
      </c>
      <c r="I147" s="26">
        <f t="shared" si="7"/>
        <v>7610149</v>
      </c>
    </row>
    <row r="148" spans="5:9" ht="15.75" x14ac:dyDescent="0.25">
      <c r="E148" s="12" t="s">
        <v>19</v>
      </c>
      <c r="F148" s="13">
        <f>SUM(F142:F147)</f>
        <v>18993510083</v>
      </c>
      <c r="G148" s="13">
        <f>SUM(G142:G147)</f>
        <v>18594296628</v>
      </c>
      <c r="H148" s="13">
        <f>SUM(H142:H147)</f>
        <v>18390084272</v>
      </c>
      <c r="I148" s="13">
        <f>SUM(I142:I147)</f>
        <v>204212356</v>
      </c>
    </row>
    <row r="149" spans="5:9" ht="15.75" x14ac:dyDescent="0.25">
      <c r="E149" s="28" t="s">
        <v>20</v>
      </c>
      <c r="F149" s="29"/>
      <c r="G149" s="30">
        <f>G148/F148</f>
        <v>0.97898158617046183</v>
      </c>
      <c r="H149" s="30">
        <f>H148/F148</f>
        <v>0.96822989492921097</v>
      </c>
    </row>
    <row r="150" spans="5:9" ht="15.75" x14ac:dyDescent="0.25">
      <c r="E150" s="28"/>
      <c r="F150" s="29"/>
      <c r="G150" s="30"/>
    </row>
    <row r="151" spans="5:9" ht="15.75" x14ac:dyDescent="0.25">
      <c r="E151" s="28"/>
      <c r="F151" s="29"/>
      <c r="G151" s="30"/>
    </row>
    <row r="152" spans="5:9" ht="15.75" x14ac:dyDescent="0.25">
      <c r="E152" s="28"/>
      <c r="F152" s="29"/>
      <c r="G152" s="30"/>
    </row>
    <row r="153" spans="5:9" ht="31.5" x14ac:dyDescent="0.25">
      <c r="E153" s="18" t="s">
        <v>89</v>
      </c>
      <c r="F153" s="2" t="s">
        <v>30</v>
      </c>
      <c r="G153" s="31" t="s">
        <v>10</v>
      </c>
      <c r="H153" s="31" t="s">
        <v>11</v>
      </c>
      <c r="I153" s="32" t="s">
        <v>90</v>
      </c>
    </row>
    <row r="154" spans="5:9" ht="15.75" x14ac:dyDescent="0.25">
      <c r="E154" s="8" t="s">
        <v>13</v>
      </c>
      <c r="F154" s="9">
        <v>10148170492</v>
      </c>
      <c r="G154" s="26">
        <v>9969601583.2999992</v>
      </c>
      <c r="H154" s="26">
        <v>9969601583.2999992</v>
      </c>
      <c r="I154" s="26">
        <f t="shared" ref="I154:I159" si="8">G154-H154</f>
        <v>0</v>
      </c>
    </row>
    <row r="155" spans="5:9" ht="15.75" x14ac:dyDescent="0.25">
      <c r="E155" s="8" t="s">
        <v>32</v>
      </c>
      <c r="F155" s="9">
        <v>6017412067</v>
      </c>
      <c r="G155" s="26">
        <v>5406263522</v>
      </c>
      <c r="H155" s="26">
        <v>4504988798</v>
      </c>
      <c r="I155" s="26">
        <f t="shared" si="8"/>
        <v>901274724</v>
      </c>
    </row>
    <row r="156" spans="5:9" ht="15.75" x14ac:dyDescent="0.25">
      <c r="E156" s="8" t="s">
        <v>33</v>
      </c>
      <c r="F156" s="9">
        <v>540810000</v>
      </c>
      <c r="G156" s="26">
        <v>469617392</v>
      </c>
      <c r="H156" s="26">
        <v>469617392</v>
      </c>
      <c r="I156" s="26">
        <f t="shared" si="8"/>
        <v>0</v>
      </c>
    </row>
    <row r="157" spans="5:9" ht="15.75" x14ac:dyDescent="0.25">
      <c r="E157" s="8" t="s">
        <v>34</v>
      </c>
      <c r="F157" s="9">
        <v>206800000</v>
      </c>
      <c r="G157" s="26">
        <v>139162532</v>
      </c>
      <c r="H157" s="26">
        <v>139162532</v>
      </c>
      <c r="I157" s="26">
        <f t="shared" si="8"/>
        <v>0</v>
      </c>
    </row>
    <row r="158" spans="5:9" ht="30.75" x14ac:dyDescent="0.25">
      <c r="E158" s="11" t="s">
        <v>88</v>
      </c>
      <c r="F158" s="9">
        <v>68495424</v>
      </c>
      <c r="G158" s="26">
        <v>40067125</v>
      </c>
      <c r="H158" s="26">
        <v>40067125</v>
      </c>
      <c r="I158" s="26">
        <f t="shared" si="8"/>
        <v>0</v>
      </c>
    </row>
    <row r="159" spans="5:9" ht="15.75" x14ac:dyDescent="0.25">
      <c r="E159" s="8" t="s">
        <v>18</v>
      </c>
      <c r="F159" s="9">
        <v>5284325264</v>
      </c>
      <c r="G159" s="26">
        <v>5154005586</v>
      </c>
      <c r="H159" s="26">
        <v>254382700</v>
      </c>
      <c r="I159" s="26">
        <f t="shared" si="8"/>
        <v>4899622886</v>
      </c>
    </row>
    <row r="160" spans="5:9" ht="15.75" x14ac:dyDescent="0.25">
      <c r="E160" s="12" t="s">
        <v>19</v>
      </c>
      <c r="F160" s="13">
        <f>SUM(F154:F159)</f>
        <v>22266013247</v>
      </c>
      <c r="G160" s="13">
        <f>SUM(G154:G159)</f>
        <v>21178717740.299999</v>
      </c>
      <c r="H160" s="13">
        <f>SUM(H154:H159)</f>
        <v>15377820130.299999</v>
      </c>
      <c r="I160" s="13">
        <f>SUM(I154:I159)</f>
        <v>5800897610</v>
      </c>
    </row>
    <row r="161" spans="5:14" ht="15.75" x14ac:dyDescent="0.25">
      <c r="E161" s="28" t="s">
        <v>20</v>
      </c>
      <c r="F161" s="29"/>
      <c r="G161" s="30">
        <f>G160/F160</f>
        <v>0.95116793048497372</v>
      </c>
      <c r="H161" s="96">
        <f>H160/F160</f>
        <v>0.69064093152697292</v>
      </c>
      <c r="I161" s="96">
        <f>I160/G160</f>
        <v>0.27390221075385224</v>
      </c>
    </row>
    <row r="162" spans="5:14" ht="15.75" x14ac:dyDescent="0.25">
      <c r="E162" s="28"/>
      <c r="F162" s="29"/>
      <c r="G162" s="30"/>
      <c r="H162" s="96"/>
      <c r="I162" s="96"/>
    </row>
    <row r="163" spans="5:14" ht="31.5" x14ac:dyDescent="0.25">
      <c r="E163" s="18" t="s">
        <v>89</v>
      </c>
      <c r="F163" s="2" t="s">
        <v>30</v>
      </c>
      <c r="G163" s="31" t="s">
        <v>11</v>
      </c>
      <c r="H163" s="31" t="s">
        <v>12</v>
      </c>
      <c r="I163" s="32" t="s">
        <v>91</v>
      </c>
    </row>
    <row r="164" spans="5:14" ht="15.75" x14ac:dyDescent="0.25">
      <c r="E164" s="8" t="s">
        <v>13</v>
      </c>
      <c r="F164" s="9">
        <v>10148170492</v>
      </c>
      <c r="G164" s="26">
        <v>9969601583.2999992</v>
      </c>
      <c r="H164" s="26">
        <v>9957771255.2999992</v>
      </c>
      <c r="I164" s="26">
        <f t="shared" ref="I164:I169" si="9">G164-H164</f>
        <v>11830328</v>
      </c>
    </row>
    <row r="165" spans="5:14" ht="15.75" x14ac:dyDescent="0.25">
      <c r="E165" s="8" t="s">
        <v>32</v>
      </c>
      <c r="F165" s="9">
        <v>6017412067</v>
      </c>
      <c r="G165" s="26">
        <v>4504988798</v>
      </c>
      <c r="H165" s="26">
        <v>4367342398</v>
      </c>
      <c r="I165" s="26">
        <f t="shared" si="9"/>
        <v>137646400</v>
      </c>
    </row>
    <row r="166" spans="5:14" ht="15.75" x14ac:dyDescent="0.25">
      <c r="E166" s="8" t="s">
        <v>33</v>
      </c>
      <c r="F166" s="9">
        <v>540810000</v>
      </c>
      <c r="G166" s="26">
        <v>469617392</v>
      </c>
      <c r="H166" s="26">
        <v>469617392</v>
      </c>
      <c r="I166" s="26">
        <f t="shared" si="9"/>
        <v>0</v>
      </c>
    </row>
    <row r="167" spans="5:14" ht="15.75" x14ac:dyDescent="0.25">
      <c r="E167" s="8" t="s">
        <v>34</v>
      </c>
      <c r="F167" s="9">
        <v>206800000</v>
      </c>
      <c r="G167" s="26">
        <v>139162532</v>
      </c>
      <c r="H167" s="26">
        <v>139162532</v>
      </c>
      <c r="I167" s="26">
        <f t="shared" si="9"/>
        <v>0</v>
      </c>
    </row>
    <row r="168" spans="5:14" ht="30.75" x14ac:dyDescent="0.25">
      <c r="E168" s="11" t="s">
        <v>88</v>
      </c>
      <c r="F168" s="9">
        <v>68495424</v>
      </c>
      <c r="G168" s="26">
        <v>40067125</v>
      </c>
      <c r="H168" s="26">
        <v>40067125</v>
      </c>
      <c r="I168" s="26">
        <f t="shared" si="9"/>
        <v>0</v>
      </c>
    </row>
    <row r="169" spans="5:14" ht="15.75" x14ac:dyDescent="0.25">
      <c r="E169" s="8" t="s">
        <v>18</v>
      </c>
      <c r="F169" s="9">
        <v>5284325264</v>
      </c>
      <c r="G169" s="26">
        <v>254382700</v>
      </c>
      <c r="H169" s="26">
        <v>170651000</v>
      </c>
      <c r="I169" s="26">
        <f t="shared" si="9"/>
        <v>83731700</v>
      </c>
    </row>
    <row r="170" spans="5:14" ht="15.75" x14ac:dyDescent="0.25">
      <c r="E170" s="12" t="s">
        <v>19</v>
      </c>
      <c r="F170" s="13">
        <f>SUM(F164:F169)</f>
        <v>22266013247</v>
      </c>
      <c r="G170" s="13">
        <f>SUM(G164:G169)</f>
        <v>15377820130.299999</v>
      </c>
      <c r="H170" s="13">
        <v>15144611702.299999</v>
      </c>
      <c r="I170" s="13">
        <f>SUM(I164:I169)</f>
        <v>233208428</v>
      </c>
    </row>
    <row r="171" spans="5:14" ht="15.75" x14ac:dyDescent="0.25">
      <c r="E171" s="28" t="s">
        <v>20</v>
      </c>
      <c r="F171" s="29"/>
      <c r="G171" s="30">
        <f>G170/F170</f>
        <v>0.69064093152697292</v>
      </c>
      <c r="H171" s="96">
        <v>0.68016719177783214</v>
      </c>
      <c r="I171" s="96">
        <f>I170/G170</f>
        <v>1.5165246180796005E-2</v>
      </c>
    </row>
    <row r="172" spans="5:14" ht="15.75" x14ac:dyDescent="0.25">
      <c r="E172" s="28"/>
      <c r="F172" s="29"/>
      <c r="G172" s="30"/>
    </row>
    <row r="173" spans="5:14" ht="15.75" x14ac:dyDescent="0.25">
      <c r="E173" s="28"/>
      <c r="F173" s="29"/>
      <c r="G173" s="30"/>
      <c r="H173">
        <v>6194828734.5500002</v>
      </c>
      <c r="I173" s="30"/>
      <c r="J173" s="30"/>
    </row>
    <row r="174" spans="5:14" ht="15.75" x14ac:dyDescent="0.25">
      <c r="E174" s="28"/>
      <c r="F174" s="29"/>
      <c r="G174" s="30"/>
      <c r="I174" s="30"/>
      <c r="J174" s="30"/>
    </row>
    <row r="175" spans="5:14" ht="47.25" x14ac:dyDescent="0.25">
      <c r="E175" s="18" t="s">
        <v>92</v>
      </c>
      <c r="F175" s="18" t="s">
        <v>39</v>
      </c>
      <c r="G175" s="32" t="s">
        <v>93</v>
      </c>
      <c r="H175" s="25" t="s">
        <v>94</v>
      </c>
      <c r="I175">
        <v>9922828734.5499992</v>
      </c>
      <c r="J175" s="18" t="s">
        <v>44</v>
      </c>
      <c r="K175" s="18" t="s">
        <v>39</v>
      </c>
      <c r="L175" s="32" t="s">
        <v>93</v>
      </c>
      <c r="M175" s="25" t="s">
        <v>94</v>
      </c>
      <c r="N175" s="97"/>
    </row>
    <row r="176" spans="5:14" ht="15.75" x14ac:dyDescent="0.25">
      <c r="E176" s="98" t="s">
        <v>95</v>
      </c>
      <c r="F176" s="9">
        <v>14069055409</v>
      </c>
      <c r="G176" s="9">
        <f>9922828735+2613800790</f>
        <v>12536629525</v>
      </c>
      <c r="H176" s="9">
        <f>F176-G176</f>
        <v>1532425884</v>
      </c>
      <c r="I176" s="27">
        <f>G176-I175</f>
        <v>2613800790.4500008</v>
      </c>
      <c r="J176" s="98" t="s">
        <v>95</v>
      </c>
      <c r="K176" s="9">
        <v>12238957965</v>
      </c>
      <c r="L176" s="9">
        <f>746716473+858000000+380000000+233000000+64000000+189000000+190000000+137000000+115400000+1162000000+198000000+286000000+260000000+G185</f>
        <v>4819116473</v>
      </c>
      <c r="M176" s="9">
        <f>K176-L176</f>
        <v>7419841492</v>
      </c>
      <c r="N176" s="99"/>
    </row>
    <row r="177" spans="5:15" ht="15.75" x14ac:dyDescent="0.25">
      <c r="E177" s="12" t="s">
        <v>19</v>
      </c>
      <c r="F177" s="13">
        <f>SUM(F176:F176)</f>
        <v>14069055409</v>
      </c>
      <c r="G177" s="42">
        <f>SUM(G176:G176)</f>
        <v>12536629525</v>
      </c>
      <c r="H177" s="42">
        <f>SUM(H176:H176)</f>
        <v>1532425884</v>
      </c>
      <c r="I177" s="17"/>
      <c r="J177" s="12" t="s">
        <v>19</v>
      </c>
      <c r="K177" s="13">
        <f>SUM(K176:K176)</f>
        <v>12238957965</v>
      </c>
      <c r="L177" s="42">
        <f>SUM(L176:L176)</f>
        <v>4819116473</v>
      </c>
      <c r="M177" s="42">
        <f>SUM(M176:M176)</f>
        <v>7419841492</v>
      </c>
      <c r="N177" s="100"/>
    </row>
    <row r="178" spans="5:15" ht="15.75" x14ac:dyDescent="0.25">
      <c r="E178" s="28" t="s">
        <v>20</v>
      </c>
      <c r="F178" s="29"/>
      <c r="G178" s="30">
        <f>G177/F177</f>
        <v>0.89107826791131239</v>
      </c>
      <c r="J178" s="28" t="s">
        <v>20</v>
      </c>
      <c r="K178" s="29"/>
      <c r="L178" s="30">
        <f>L177/K177</f>
        <v>0.39375218762751918</v>
      </c>
    </row>
    <row r="179" spans="5:15" ht="15.75" x14ac:dyDescent="0.25">
      <c r="E179" s="28"/>
      <c r="F179" s="39"/>
      <c r="G179" s="30">
        <f>(G176+G185)/F177</f>
        <v>0.89107826791131239</v>
      </c>
      <c r="H179" s="101"/>
      <c r="M179" s="27"/>
    </row>
    <row r="180" spans="5:15" ht="31.5" x14ac:dyDescent="0.25">
      <c r="E180" s="102" t="s">
        <v>96</v>
      </c>
      <c r="F180" s="29" t="s">
        <v>97</v>
      </c>
      <c r="G180" s="30"/>
      <c r="H180" s="103">
        <v>184460756</v>
      </c>
      <c r="I180" s="103"/>
      <c r="J180" t="s">
        <v>98</v>
      </c>
    </row>
    <row r="181" spans="5:15" ht="15.75" x14ac:dyDescent="0.25">
      <c r="E181" s="28"/>
      <c r="F181" s="29" t="s">
        <v>99</v>
      </c>
      <c r="G181" s="30"/>
      <c r="H181" s="103">
        <v>0</v>
      </c>
      <c r="I181" s="103">
        <v>2151514152</v>
      </c>
      <c r="J181">
        <v>1151884456</v>
      </c>
    </row>
    <row r="182" spans="5:15" ht="15.75" x14ac:dyDescent="0.25">
      <c r="E182" s="28"/>
      <c r="F182" s="29" t="s">
        <v>100</v>
      </c>
      <c r="G182" s="30"/>
      <c r="H182" s="103">
        <f>SUM(H180:H181)</f>
        <v>184460756</v>
      </c>
    </row>
    <row r="183" spans="5:15" ht="15.75" x14ac:dyDescent="0.25">
      <c r="E183" s="28"/>
      <c r="F183" s="29" t="s">
        <v>101</v>
      </c>
      <c r="G183" s="30"/>
      <c r="H183" s="103"/>
    </row>
    <row r="184" spans="5:15" ht="16.5" thickBot="1" x14ac:dyDescent="0.3">
      <c r="E184" s="28"/>
      <c r="F184" s="29"/>
      <c r="G184" s="30"/>
      <c r="H184" s="103"/>
    </row>
    <row r="185" spans="5:15" ht="32.25" thickBot="1" x14ac:dyDescent="0.3">
      <c r="E185" s="102" t="s">
        <v>102</v>
      </c>
      <c r="F185" s="29" t="s">
        <v>103</v>
      </c>
      <c r="G185" s="104">
        <f>K193</f>
        <v>0</v>
      </c>
      <c r="H185" s="27">
        <f>G176+G185</f>
        <v>12536629525</v>
      </c>
      <c r="J185" s="105" t="s">
        <v>104</v>
      </c>
      <c r="K185" s="106" t="s">
        <v>105</v>
      </c>
      <c r="M185" s="105" t="s">
        <v>104</v>
      </c>
      <c r="N185" s="106" t="s">
        <v>106</v>
      </c>
    </row>
    <row r="186" spans="5:15" ht="16.5" thickBot="1" x14ac:dyDescent="0.3">
      <c r="E186" s="107"/>
      <c r="F186" s="108"/>
      <c r="G186" s="104"/>
      <c r="J186" s="109" t="s">
        <v>107</v>
      </c>
      <c r="K186" s="110"/>
      <c r="M186" s="109" t="s">
        <v>107</v>
      </c>
      <c r="N186" s="110"/>
      <c r="O186" t="s">
        <v>207</v>
      </c>
    </row>
    <row r="187" spans="5:15" ht="16.5" thickBot="1" x14ac:dyDescent="0.3">
      <c r="E187" s="107"/>
      <c r="F187" s="29"/>
      <c r="G187" s="111"/>
      <c r="J187" s="109" t="s">
        <v>108</v>
      </c>
      <c r="K187" s="110"/>
      <c r="M187" s="109" t="s">
        <v>108</v>
      </c>
      <c r="N187" s="110"/>
    </row>
    <row r="188" spans="5:15" ht="16.5" thickBot="1" x14ac:dyDescent="0.3">
      <c r="E188" s="107"/>
      <c r="F188" s="29"/>
      <c r="G188" s="111"/>
      <c r="J188" s="109"/>
      <c r="K188" s="110"/>
      <c r="M188" s="109" t="s">
        <v>109</v>
      </c>
      <c r="N188" s="110"/>
    </row>
    <row r="189" spans="5:15" ht="16.5" thickBot="1" x14ac:dyDescent="0.3">
      <c r="E189" s="107"/>
      <c r="H189" s="112"/>
      <c r="I189" s="112"/>
      <c r="J189" s="109" t="s">
        <v>110</v>
      </c>
      <c r="K189" s="110"/>
      <c r="M189" s="109" t="s">
        <v>111</v>
      </c>
      <c r="N189" s="110"/>
    </row>
    <row r="190" spans="5:15" ht="16.5" thickBot="1" x14ac:dyDescent="0.3">
      <c r="E190" s="107"/>
      <c r="H190" s="112"/>
      <c r="I190" s="112"/>
      <c r="J190" s="109"/>
      <c r="K190" s="110"/>
      <c r="M190" s="109" t="s">
        <v>110</v>
      </c>
      <c r="N190" s="110"/>
    </row>
    <row r="191" spans="5:15" ht="16.5" thickBot="1" x14ac:dyDescent="0.3">
      <c r="E191" s="107"/>
      <c r="F191" s="29"/>
      <c r="G191" s="111"/>
      <c r="I191" s="112"/>
      <c r="J191" s="109" t="s">
        <v>111</v>
      </c>
      <c r="K191" s="110"/>
      <c r="M191" s="109" t="s">
        <v>112</v>
      </c>
      <c r="N191" s="110"/>
    </row>
    <row r="192" spans="5:15" ht="25.5" thickBot="1" x14ac:dyDescent="0.3">
      <c r="E192" s="102" t="s">
        <v>176</v>
      </c>
      <c r="F192" s="29"/>
      <c r="G192" s="104"/>
      <c r="I192" s="112"/>
      <c r="J192" s="109" t="s">
        <v>112</v>
      </c>
      <c r="K192" s="110"/>
      <c r="M192" s="113" t="s">
        <v>113</v>
      </c>
      <c r="N192" s="113">
        <f>SUM(N186:N191)</f>
        <v>0</v>
      </c>
    </row>
    <row r="193" spans="5:14" ht="50.25" customHeight="1" thickBot="1" x14ac:dyDescent="0.3">
      <c r="E193" s="18" t="s">
        <v>213</v>
      </c>
      <c r="F193" s="18" t="s">
        <v>39</v>
      </c>
      <c r="G193" s="32" t="s">
        <v>114</v>
      </c>
      <c r="H193" s="31" t="s">
        <v>94</v>
      </c>
      <c r="J193" s="113" t="s">
        <v>113</v>
      </c>
      <c r="K193" s="113">
        <f>SUM(K186:K192)</f>
        <v>0</v>
      </c>
      <c r="N193" s="202"/>
    </row>
    <row r="194" spans="5:14" ht="20.25" customHeight="1" x14ac:dyDescent="0.25">
      <c r="E194" s="98" t="s">
        <v>95</v>
      </c>
      <c r="F194" s="114">
        <v>18744949133</v>
      </c>
      <c r="G194" s="179">
        <v>18703405707.759998</v>
      </c>
      <c r="H194" s="180">
        <f>F194-G194</f>
        <v>41543425.240001678</v>
      </c>
      <c r="N194" s="15"/>
    </row>
    <row r="195" spans="5:14" ht="17.25" customHeight="1" x14ac:dyDescent="0.25">
      <c r="E195" s="12" t="s">
        <v>19</v>
      </c>
      <c r="F195" s="13">
        <f>SUM(F194:F194)</f>
        <v>18744949133</v>
      </c>
      <c r="G195" s="42">
        <f>SUM(G194:G194)</f>
        <v>18703405707.759998</v>
      </c>
      <c r="H195" s="42">
        <f>SUM(H194:H194)</f>
        <v>41543425.240001678</v>
      </c>
    </row>
    <row r="196" spans="5:14" ht="18" customHeight="1" x14ac:dyDescent="0.25">
      <c r="E196" s="28" t="s">
        <v>20</v>
      </c>
      <c r="F196" s="29"/>
      <c r="G196" s="182">
        <f>G195/F195</f>
        <v>0.99778375364236838</v>
      </c>
      <c r="J196" s="15">
        <f>+G194+84745368.6</f>
        <v>18788151076.359997</v>
      </c>
    </row>
    <row r="197" spans="5:14" ht="15" customHeight="1" x14ac:dyDescent="0.25">
      <c r="E197" s="28"/>
      <c r="F197" s="39"/>
      <c r="G197" s="30"/>
      <c r="H197" s="27"/>
    </row>
    <row r="198" spans="5:14" ht="15.75" x14ac:dyDescent="0.25">
      <c r="E198" s="243" t="s">
        <v>115</v>
      </c>
      <c r="F198" s="243"/>
      <c r="G198" s="243"/>
      <c r="H198" s="243"/>
      <c r="I198" s="36"/>
    </row>
    <row r="199" spans="5:14" ht="63" x14ac:dyDescent="0.25">
      <c r="E199" s="18" t="s">
        <v>213</v>
      </c>
      <c r="F199" s="18" t="s">
        <v>39</v>
      </c>
      <c r="G199" s="32" t="s">
        <v>116</v>
      </c>
      <c r="H199" s="31" t="s">
        <v>94</v>
      </c>
    </row>
    <row r="200" spans="5:14" ht="15.75" x14ac:dyDescent="0.25">
      <c r="E200" s="98" t="s">
        <v>95</v>
      </c>
      <c r="F200" s="9">
        <f>F194</f>
        <v>18744949133</v>
      </c>
      <c r="G200" s="226">
        <f>G194+N192</f>
        <v>18703405707.759998</v>
      </c>
      <c r="H200" s="117">
        <f>G200-F200</f>
        <v>-41543425.240001678</v>
      </c>
      <c r="I200" t="s">
        <v>117</v>
      </c>
    </row>
    <row r="201" spans="5:14" ht="15.75" x14ac:dyDescent="0.25">
      <c r="E201" s="12" t="s">
        <v>19</v>
      </c>
      <c r="F201" s="13">
        <f>SUM(F200:F200)</f>
        <v>18744949133</v>
      </c>
      <c r="G201" s="42">
        <f>SUM(G200:G200)</f>
        <v>18703405707.759998</v>
      </c>
      <c r="H201" s="42">
        <f>SUM(H200:H200)</f>
        <v>-41543425.240001678</v>
      </c>
    </row>
    <row r="202" spans="5:14" ht="15.75" x14ac:dyDescent="0.25">
      <c r="E202" s="28" t="s">
        <v>20</v>
      </c>
      <c r="F202" s="29"/>
      <c r="G202" s="182">
        <f>G201/F201</f>
        <v>0.99778375364236838</v>
      </c>
    </row>
    <row r="203" spans="5:14" ht="15.75" x14ac:dyDescent="0.25">
      <c r="E203" s="28"/>
      <c r="F203" s="29"/>
      <c r="G203" s="115"/>
    </row>
    <row r="204" spans="5:14" ht="15.75" x14ac:dyDescent="0.25">
      <c r="E204" s="243" t="s">
        <v>214</v>
      </c>
      <c r="F204" s="243"/>
      <c r="G204" s="243"/>
      <c r="H204" s="243"/>
    </row>
    <row r="205" spans="5:14" ht="47.25" x14ac:dyDescent="0.25">
      <c r="E205" s="18" t="s">
        <v>213</v>
      </c>
      <c r="F205" s="18" t="s">
        <v>39</v>
      </c>
      <c r="G205" s="32" t="s">
        <v>114</v>
      </c>
      <c r="H205" s="31" t="s">
        <v>94</v>
      </c>
    </row>
    <row r="206" spans="5:14" ht="15.75" x14ac:dyDescent="0.25">
      <c r="E206" s="98" t="s">
        <v>95</v>
      </c>
      <c r="F206" s="9">
        <f>F200</f>
        <v>18744949133</v>
      </c>
      <c r="G206" s="226">
        <f>G194+N192</f>
        <v>18703405707.759998</v>
      </c>
      <c r="H206" s="117">
        <f>+F206-G206</f>
        <v>41543425.240001678</v>
      </c>
    </row>
    <row r="207" spans="5:14" ht="15.75" x14ac:dyDescent="0.25">
      <c r="E207" s="12" t="s">
        <v>19</v>
      </c>
      <c r="F207" s="13">
        <f>SUM(F206:F206)</f>
        <v>18744949133</v>
      </c>
      <c r="G207" s="42">
        <f>SUM(G206:G206)</f>
        <v>18703405707.759998</v>
      </c>
      <c r="H207" s="42">
        <f>SUM(H206:H206)</f>
        <v>41543425.240001678</v>
      </c>
    </row>
    <row r="208" spans="5:14" ht="15.75" x14ac:dyDescent="0.25">
      <c r="E208" s="28" t="s">
        <v>20</v>
      </c>
      <c r="F208" s="29"/>
      <c r="G208" s="182">
        <f>G207/F207</f>
        <v>0.99778375364236838</v>
      </c>
      <c r="M208">
        <v>1102005</v>
      </c>
    </row>
    <row r="209" spans="5:13" ht="15.75" x14ac:dyDescent="0.25">
      <c r="E209" s="28"/>
      <c r="F209" s="29"/>
      <c r="G209" s="115"/>
      <c r="M209">
        <v>686433832</v>
      </c>
    </row>
    <row r="210" spans="5:13" ht="15.75" x14ac:dyDescent="0.25">
      <c r="E210" s="102" t="s">
        <v>215</v>
      </c>
      <c r="F210" s="29" t="s">
        <v>216</v>
      </c>
      <c r="G210" s="30"/>
      <c r="H210" s="103">
        <f>+H211+H212</f>
        <v>0</v>
      </c>
      <c r="M210">
        <v>122429</v>
      </c>
    </row>
    <row r="211" spans="5:13" ht="15.75" x14ac:dyDescent="0.25">
      <c r="E211" s="102"/>
      <c r="F211" s="29"/>
      <c r="G211" s="30"/>
      <c r="H211" s="103"/>
      <c r="M211">
        <v>413253</v>
      </c>
    </row>
    <row r="212" spans="5:13" ht="15.75" x14ac:dyDescent="0.25">
      <c r="E212" s="118"/>
      <c r="F212" s="29"/>
      <c r="G212" s="33"/>
      <c r="H212" s="181"/>
      <c r="I212" s="120"/>
      <c r="L212" s="208"/>
      <c r="M212">
        <v>1916540</v>
      </c>
    </row>
    <row r="213" spans="5:13" ht="15.75" x14ac:dyDescent="0.25">
      <c r="E213" s="118"/>
      <c r="I213" s="36"/>
      <c r="M213">
        <v>460312</v>
      </c>
    </row>
    <row r="214" spans="5:13" ht="15.75" x14ac:dyDescent="0.25">
      <c r="E214" s="118"/>
      <c r="F214" s="119"/>
      <c r="G214" s="33"/>
      <c r="H214" s="36"/>
      <c r="I214" s="36"/>
    </row>
    <row r="215" spans="5:13" ht="15.75" x14ac:dyDescent="0.25">
      <c r="E215" s="118"/>
      <c r="F215" s="119"/>
      <c r="G215" s="33"/>
      <c r="H215" s="36"/>
      <c r="I215" s="36"/>
    </row>
    <row r="216" spans="5:13" ht="15.75" x14ac:dyDescent="0.25">
      <c r="E216" s="243" t="s">
        <v>176</v>
      </c>
      <c r="F216" s="243"/>
      <c r="G216" s="243"/>
      <c r="H216" s="243"/>
      <c r="I216" s="36"/>
    </row>
    <row r="217" spans="5:13" ht="47.25" x14ac:dyDescent="0.25">
      <c r="E217" s="18" t="s">
        <v>213</v>
      </c>
      <c r="F217" s="18" t="s">
        <v>39</v>
      </c>
      <c r="G217" s="32" t="s">
        <v>114</v>
      </c>
      <c r="H217" s="31" t="s">
        <v>118</v>
      </c>
      <c r="I217" s="36"/>
    </row>
    <row r="218" spans="5:13" ht="15.75" x14ac:dyDescent="0.25">
      <c r="E218" s="98" t="s">
        <v>95</v>
      </c>
      <c r="F218" s="9">
        <f>+F200</f>
        <v>18744949133</v>
      </c>
      <c r="G218" s="226">
        <f>G194+N192+H210</f>
        <v>18703405707.759998</v>
      </c>
      <c r="H218" s="117">
        <f>G218-F218</f>
        <v>-41543425.240001678</v>
      </c>
      <c r="I218" s="36"/>
    </row>
    <row r="219" spans="5:13" ht="15.75" x14ac:dyDescent="0.25">
      <c r="E219" s="12" t="s">
        <v>19</v>
      </c>
      <c r="F219" s="13">
        <f>SUM(F218:F218)</f>
        <v>18744949133</v>
      </c>
      <c r="G219" s="42">
        <f>SUM(G218:G218)</f>
        <v>18703405707.759998</v>
      </c>
      <c r="H219" s="42">
        <f>SUM(H218:H218)</f>
        <v>-41543425.240001678</v>
      </c>
      <c r="I219" s="36"/>
    </row>
    <row r="220" spans="5:13" ht="15.75" x14ac:dyDescent="0.25">
      <c r="E220" s="221" t="s">
        <v>20</v>
      </c>
      <c r="F220" s="219"/>
      <c r="G220" s="230">
        <f>G219/F219</f>
        <v>0.99778375364236838</v>
      </c>
      <c r="H220" s="222"/>
      <c r="I220" s="36"/>
    </row>
    <row r="221" spans="5:13" ht="15.75" x14ac:dyDescent="0.25">
      <c r="E221" s="221"/>
      <c r="F221" s="219"/>
      <c r="G221" s="220"/>
      <c r="H221" s="222"/>
      <c r="I221" s="36"/>
    </row>
    <row r="222" spans="5:13" ht="15.75" x14ac:dyDescent="0.25">
      <c r="E222" s="223" t="s">
        <v>215</v>
      </c>
      <c r="F222" s="219" t="s">
        <v>216</v>
      </c>
      <c r="G222" s="220"/>
      <c r="H222" s="222"/>
      <c r="I222" s="36"/>
    </row>
    <row r="223" spans="5:13" ht="15.75" x14ac:dyDescent="0.25">
      <c r="E223" s="223"/>
      <c r="F223" s="219" t="s">
        <v>217</v>
      </c>
      <c r="G223" s="220"/>
      <c r="H223" s="218">
        <v>686433832</v>
      </c>
      <c r="I223" s="36"/>
      <c r="J223">
        <f>+H223</f>
        <v>686433832</v>
      </c>
      <c r="K223">
        <v>4954925678</v>
      </c>
      <c r="L223">
        <f>+J223-K223</f>
        <v>-4268491846</v>
      </c>
    </row>
    <row r="224" spans="5:13" ht="15.75" x14ac:dyDescent="0.25">
      <c r="E224" s="223"/>
      <c r="F224" s="219" t="s">
        <v>238</v>
      </c>
      <c r="G224" s="220"/>
      <c r="H224" s="218">
        <v>1102005</v>
      </c>
      <c r="I224" s="36"/>
    </row>
    <row r="225" spans="5:9" ht="15.75" x14ac:dyDescent="0.25">
      <c r="E225" s="223"/>
      <c r="F225" s="219" t="s">
        <v>239</v>
      </c>
      <c r="G225" s="220"/>
      <c r="H225" s="218">
        <v>122429</v>
      </c>
      <c r="I225" s="36"/>
    </row>
    <row r="226" spans="5:9" ht="15.75" x14ac:dyDescent="0.25">
      <c r="E226" s="223"/>
      <c r="F226" s="219" t="s">
        <v>240</v>
      </c>
      <c r="G226" s="220"/>
      <c r="H226" s="218">
        <v>413253</v>
      </c>
      <c r="I226" s="36"/>
    </row>
    <row r="227" spans="5:9" ht="15.75" x14ac:dyDescent="0.25">
      <c r="E227" s="223"/>
      <c r="F227" s="219" t="s">
        <v>241</v>
      </c>
      <c r="G227" s="220"/>
      <c r="H227" s="218">
        <v>1916540</v>
      </c>
      <c r="I227" s="36"/>
    </row>
    <row r="228" spans="5:9" ht="15.75" x14ac:dyDescent="0.25">
      <c r="E228" s="223"/>
      <c r="F228" s="219" t="s">
        <v>242</v>
      </c>
      <c r="G228" s="220"/>
      <c r="H228" s="218">
        <v>460312</v>
      </c>
      <c r="I228" s="36"/>
    </row>
    <row r="229" spans="5:9" ht="15.75" x14ac:dyDescent="0.25">
      <c r="E229" s="223"/>
      <c r="F229" s="219" t="s">
        <v>243</v>
      </c>
      <c r="G229" s="220"/>
      <c r="H229" s="218">
        <v>3475540</v>
      </c>
      <c r="I229" s="36"/>
    </row>
    <row r="230" spans="5:9" ht="15.75" x14ac:dyDescent="0.25">
      <c r="E230" s="221"/>
      <c r="F230" s="219"/>
      <c r="G230" s="220"/>
      <c r="H230" s="227">
        <f>SUM(H223:H229)</f>
        <v>693923911</v>
      </c>
      <c r="I230" s="36"/>
    </row>
    <row r="231" spans="5:9" ht="15.75" x14ac:dyDescent="0.25">
      <c r="E231" s="118"/>
      <c r="F231" s="119"/>
      <c r="G231" s="33"/>
      <c r="H231" s="36"/>
      <c r="I231" s="36"/>
    </row>
    <row r="232" spans="5:9" ht="15.75" x14ac:dyDescent="0.25">
      <c r="E232" s="243" t="s">
        <v>218</v>
      </c>
      <c r="F232" s="243"/>
      <c r="G232" s="243"/>
      <c r="H232" s="243"/>
      <c r="I232" s="36"/>
    </row>
    <row r="233" spans="5:9" ht="47.25" x14ac:dyDescent="0.25">
      <c r="E233" s="18" t="s">
        <v>213</v>
      </c>
      <c r="F233" s="18" t="s">
        <v>39</v>
      </c>
      <c r="G233" s="32" t="s">
        <v>114</v>
      </c>
      <c r="H233" s="31" t="s">
        <v>118</v>
      </c>
      <c r="I233" s="36"/>
    </row>
    <row r="234" spans="5:9" ht="15.75" x14ac:dyDescent="0.25">
      <c r="E234" s="98" t="s">
        <v>95</v>
      </c>
      <c r="F234" s="9">
        <f>F218</f>
        <v>18744949133</v>
      </c>
      <c r="G234" s="116">
        <f>G218+H223</f>
        <v>19389839539.759998</v>
      </c>
      <c r="H234" s="117">
        <f>G234-F234</f>
        <v>644890406.75999832</v>
      </c>
      <c r="I234" s="36"/>
    </row>
    <row r="235" spans="5:9" ht="15.75" x14ac:dyDescent="0.25">
      <c r="E235" s="12" t="s">
        <v>19</v>
      </c>
      <c r="F235" s="13">
        <f>SUM(F234:F234)</f>
        <v>18744949133</v>
      </c>
      <c r="G235" s="42">
        <f>SUM(G234:G234)</f>
        <v>19389839539.759998</v>
      </c>
      <c r="H235" s="42">
        <f>SUM(H234:H234)</f>
        <v>644890406.75999832</v>
      </c>
      <c r="I235" s="36"/>
    </row>
    <row r="236" spans="5:9" ht="15.75" x14ac:dyDescent="0.25">
      <c r="E236" s="28" t="s">
        <v>20</v>
      </c>
      <c r="F236" s="29"/>
      <c r="G236" s="182">
        <f>G235/F235</f>
        <v>1.0344034226065029</v>
      </c>
      <c r="I236" s="36"/>
    </row>
    <row r="237" spans="5:9" x14ac:dyDescent="0.25">
      <c r="E237" t="s">
        <v>119</v>
      </c>
      <c r="F237" s="27" t="e">
        <f>#REF!+#REF!</f>
        <v>#REF!</v>
      </c>
    </row>
    <row r="238" spans="5:9" x14ac:dyDescent="0.25">
      <c r="F238" s="27" t="e">
        <f>#REF!+#REF!</f>
        <v>#REF!</v>
      </c>
      <c r="G238" s="27" t="e">
        <f>F237+F238</f>
        <v>#REF!</v>
      </c>
    </row>
    <row r="239" spans="5:9" x14ac:dyDescent="0.25">
      <c r="F239" s="27"/>
      <c r="G239" s="27"/>
    </row>
    <row r="240" spans="5:9" ht="15.75" thickBot="1" x14ac:dyDescent="0.3">
      <c r="F240" s="27"/>
      <c r="G240" s="27"/>
    </row>
    <row r="241" spans="5:10" ht="48" thickTop="1" x14ac:dyDescent="0.25">
      <c r="E241" s="121" t="s">
        <v>120</v>
      </c>
      <c r="F241" s="122" t="s">
        <v>121</v>
      </c>
      <c r="G241" s="122" t="s">
        <v>122</v>
      </c>
    </row>
    <row r="242" spans="5:10" ht="18.75" thickBot="1" x14ac:dyDescent="0.3">
      <c r="E242" s="123">
        <f>G200</f>
        <v>18703405707.759998</v>
      </c>
      <c r="F242" s="124">
        <f>H57+H59</f>
        <v>17338046818.290001</v>
      </c>
      <c r="G242" s="124">
        <f>E242-F242</f>
        <v>1365358889.4699974</v>
      </c>
      <c r="H242" s="112">
        <v>1363264244</v>
      </c>
      <c r="I242" s="125">
        <f>G242-H242</f>
        <v>2094645.469997406</v>
      </c>
      <c r="J242" t="s">
        <v>123</v>
      </c>
    </row>
    <row r="243" spans="5:10" ht="19.5" thickTop="1" x14ac:dyDescent="0.3">
      <c r="E243" s="126" t="s">
        <v>124</v>
      </c>
      <c r="F243" s="127">
        <f>F242/E242</f>
        <v>0.92699945075224921</v>
      </c>
      <c r="G243" s="127">
        <f>G242/E242</f>
        <v>7.3000549247750818E-2</v>
      </c>
    </row>
    <row r="244" spans="5:10" ht="18.75" x14ac:dyDescent="0.3">
      <c r="E244" s="126"/>
      <c r="F244" s="127"/>
      <c r="G244" s="127"/>
    </row>
    <row r="245" spans="5:10" ht="18.75" x14ac:dyDescent="0.3">
      <c r="E245" s="126"/>
      <c r="F245" s="127"/>
      <c r="G245" s="127"/>
    </row>
    <row r="246" spans="5:10" ht="18.75" x14ac:dyDescent="0.3">
      <c r="E246" s="126"/>
      <c r="F246" s="127"/>
      <c r="G246" s="127"/>
    </row>
    <row r="247" spans="5:10" ht="18.75" x14ac:dyDescent="0.3">
      <c r="E247" s="126"/>
      <c r="F247" s="127"/>
      <c r="G247" s="127"/>
    </row>
    <row r="249" spans="5:10" ht="15.75" x14ac:dyDescent="0.25">
      <c r="E249" s="28"/>
      <c r="F249" s="29"/>
      <c r="G249" s="30"/>
    </row>
    <row r="250" spans="5:10" ht="47.25" x14ac:dyDescent="0.25">
      <c r="E250" s="1" t="s">
        <v>125</v>
      </c>
      <c r="F250" s="4" t="s">
        <v>39</v>
      </c>
      <c r="G250" s="31" t="s">
        <v>126</v>
      </c>
      <c r="H250" s="128" t="s">
        <v>127</v>
      </c>
    </row>
    <row r="251" spans="5:10" ht="15.75" x14ac:dyDescent="0.25">
      <c r="E251" s="8" t="s">
        <v>128</v>
      </c>
      <c r="F251" s="9">
        <f>F194</f>
        <v>18744949133</v>
      </c>
      <c r="G251" s="9">
        <f>F242</f>
        <v>17338046818.290001</v>
      </c>
      <c r="H251" s="129">
        <f>F176-F242</f>
        <v>-3268991409.2900009</v>
      </c>
    </row>
    <row r="252" spans="5:10" ht="15.75" x14ac:dyDescent="0.25">
      <c r="E252" s="12" t="s">
        <v>19</v>
      </c>
      <c r="F252" s="13">
        <f>SUM(F251:F251)</f>
        <v>18744949133</v>
      </c>
      <c r="G252" s="42">
        <f>SUM(G251:G251)</f>
        <v>17338046818.290001</v>
      </c>
      <c r="H252" s="130">
        <f>SUM(H251:H251)</f>
        <v>-3268991409.2900009</v>
      </c>
    </row>
    <row r="253" spans="5:10" ht="18.75" x14ac:dyDescent="0.3">
      <c r="E253" s="28" t="s">
        <v>20</v>
      </c>
      <c r="F253" s="29"/>
      <c r="G253" s="30">
        <f>G252/F252</f>
        <v>0.92494499159599297</v>
      </c>
      <c r="H253" s="127">
        <f>H251/F252</f>
        <v>-0.17439318645762691</v>
      </c>
    </row>
    <row r="256" spans="5:10" ht="30" x14ac:dyDescent="0.25">
      <c r="E256" s="131" t="s">
        <v>90</v>
      </c>
      <c r="F256" s="131" t="s">
        <v>129</v>
      </c>
      <c r="G256" s="131" t="s">
        <v>130</v>
      </c>
      <c r="H256" s="131" t="s">
        <v>131</v>
      </c>
      <c r="I256" s="132" t="s">
        <v>132</v>
      </c>
      <c r="J256" s="132" t="s">
        <v>133</v>
      </c>
    </row>
    <row r="257" spans="5:10" x14ac:dyDescent="0.25">
      <c r="E257" s="133" t="s">
        <v>134</v>
      </c>
      <c r="F257" s="134">
        <v>843614999</v>
      </c>
      <c r="G257" s="134">
        <v>57659725</v>
      </c>
      <c r="H257" s="134">
        <f>SUM(F257:G257)</f>
        <v>901274724</v>
      </c>
      <c r="I257" s="135">
        <v>43648500</v>
      </c>
      <c r="J257" s="134">
        <f>H257-I257</f>
        <v>857626224</v>
      </c>
    </row>
    <row r="258" spans="5:10" x14ac:dyDescent="0.25">
      <c r="E258" s="133" t="s">
        <v>135</v>
      </c>
      <c r="F258" s="134">
        <v>3282872918</v>
      </c>
      <c r="G258" s="134">
        <v>1616749968</v>
      </c>
      <c r="H258" s="134">
        <f>SUM(F258:G258)</f>
        <v>4899622886</v>
      </c>
      <c r="I258" s="136">
        <v>999053566</v>
      </c>
      <c r="J258" s="134">
        <f>H258-I258</f>
        <v>3900569320</v>
      </c>
    </row>
    <row r="259" spans="5:10" x14ac:dyDescent="0.25">
      <c r="E259" s="137" t="s">
        <v>25</v>
      </c>
      <c r="F259" s="138">
        <f>SUM(F257:F258)</f>
        <v>4126487917</v>
      </c>
      <c r="G259" s="138">
        <f>SUM(G257:G258)</f>
        <v>1674409693</v>
      </c>
      <c r="H259" s="138">
        <f>SUM(H257:H258)</f>
        <v>5800897610</v>
      </c>
      <c r="I259" s="138">
        <f>SUM(I257:I258)</f>
        <v>1042702066</v>
      </c>
      <c r="J259" s="138">
        <f>SUM(J257:J258)</f>
        <v>4758195544</v>
      </c>
    </row>
    <row r="260" spans="5:10" x14ac:dyDescent="0.25">
      <c r="E260" s="139" t="s">
        <v>136</v>
      </c>
      <c r="F260" s="140">
        <f>F259+G259</f>
        <v>5800897610</v>
      </c>
      <c r="G260" s="112"/>
    </row>
    <row r="261" spans="5:10" x14ac:dyDescent="0.25">
      <c r="E261" s="139"/>
      <c r="F261" s="112"/>
      <c r="G261" s="112"/>
    </row>
    <row r="262" spans="5:10" x14ac:dyDescent="0.25">
      <c r="E262" s="131" t="s">
        <v>137</v>
      </c>
      <c r="F262" s="141" t="s">
        <v>129</v>
      </c>
      <c r="G262" s="141" t="s">
        <v>130</v>
      </c>
      <c r="H262" s="131" t="s">
        <v>25</v>
      </c>
    </row>
    <row r="263" spans="5:10" x14ac:dyDescent="0.25">
      <c r="E263" s="133" t="s">
        <v>134</v>
      </c>
      <c r="F263" s="134">
        <v>0</v>
      </c>
      <c r="G263" s="134">
        <v>130146400</v>
      </c>
      <c r="H263" s="134">
        <f>SUM(F263:G263)</f>
        <v>130146400</v>
      </c>
      <c r="I263" s="136">
        <v>43648500</v>
      </c>
      <c r="J263" s="112">
        <f>H263+I263</f>
        <v>173794900</v>
      </c>
    </row>
    <row r="264" spans="5:10" x14ac:dyDescent="0.25">
      <c r="E264" s="133" t="s">
        <v>135</v>
      </c>
      <c r="F264" s="134">
        <v>19330328</v>
      </c>
      <c r="G264" s="134">
        <v>83731700</v>
      </c>
      <c r="H264" s="134">
        <f>SUM(F264:G264)</f>
        <v>103062028</v>
      </c>
      <c r="I264" s="136">
        <v>999053566</v>
      </c>
      <c r="J264" s="112">
        <f>H264+I264</f>
        <v>1102115594</v>
      </c>
    </row>
    <row r="265" spans="5:10" x14ac:dyDescent="0.25">
      <c r="E265" s="137" t="s">
        <v>25</v>
      </c>
      <c r="F265" s="138">
        <f>F264</f>
        <v>19330328</v>
      </c>
      <c r="G265" s="138">
        <f>SUM(G263:G264)</f>
        <v>213878100</v>
      </c>
      <c r="H265" s="138">
        <f>SUM(H263:H264)</f>
        <v>233208428</v>
      </c>
    </row>
    <row r="266" spans="5:10" x14ac:dyDescent="0.25">
      <c r="E266" s="139" t="s">
        <v>138</v>
      </c>
      <c r="F266" s="140"/>
      <c r="G266" s="112"/>
    </row>
    <row r="268" spans="5:10" x14ac:dyDescent="0.25">
      <c r="E268" s="142" t="s">
        <v>139</v>
      </c>
      <c r="F268" s="143">
        <v>5800897610</v>
      </c>
      <c r="G268" t="s">
        <v>84</v>
      </c>
      <c r="H268" t="s">
        <v>85</v>
      </c>
    </row>
    <row r="269" spans="5:10" x14ac:dyDescent="0.25">
      <c r="E269" s="142" t="s">
        <v>140</v>
      </c>
      <c r="F269" s="143">
        <v>1042702066</v>
      </c>
      <c r="G269" s="112">
        <v>43648500</v>
      </c>
      <c r="H269" s="112">
        <v>999053566</v>
      </c>
      <c r="I269" s="112">
        <f>G269+H269</f>
        <v>1042702066</v>
      </c>
      <c r="J269" s="112">
        <f>F269-I269</f>
        <v>0</v>
      </c>
    </row>
    <row r="270" spans="5:10" x14ac:dyDescent="0.25">
      <c r="E270" s="142" t="s">
        <v>141</v>
      </c>
      <c r="F270" s="143">
        <v>4758195544</v>
      </c>
    </row>
    <row r="272" spans="5:10" x14ac:dyDescent="0.25">
      <c r="E272" s="131" t="s">
        <v>142</v>
      </c>
      <c r="F272" s="141" t="s">
        <v>129</v>
      </c>
      <c r="G272" s="141" t="s">
        <v>130</v>
      </c>
      <c r="H272" s="131" t="s">
        <v>25</v>
      </c>
    </row>
    <row r="273" spans="5:9" x14ac:dyDescent="0.25">
      <c r="E273" s="133" t="s">
        <v>134</v>
      </c>
      <c r="F273" s="134">
        <v>0</v>
      </c>
      <c r="G273" s="134">
        <v>130146400</v>
      </c>
      <c r="H273" s="134">
        <f>SUM(F273:G273)</f>
        <v>130146400</v>
      </c>
    </row>
    <row r="274" spans="5:9" x14ac:dyDescent="0.25">
      <c r="E274" s="133" t="s">
        <v>135</v>
      </c>
      <c r="F274" s="134">
        <v>19330328</v>
      </c>
      <c r="G274" s="134">
        <v>83731700</v>
      </c>
      <c r="H274" s="134">
        <f>SUM(F274:G274)</f>
        <v>103062028</v>
      </c>
    </row>
    <row r="275" spans="5:9" x14ac:dyDescent="0.25">
      <c r="E275" s="137" t="s">
        <v>25</v>
      </c>
      <c r="F275" s="138">
        <f>F274</f>
        <v>19330328</v>
      </c>
      <c r="G275" s="138">
        <f>SUM(G273:G274)</f>
        <v>213878100</v>
      </c>
      <c r="H275" s="138">
        <f>SUM(H273:H274)</f>
        <v>233208428</v>
      </c>
    </row>
    <row r="277" spans="5:9" x14ac:dyDescent="0.25">
      <c r="E277" s="131" t="s">
        <v>143</v>
      </c>
      <c r="F277" s="141" t="s">
        <v>129</v>
      </c>
      <c r="G277" s="141" t="s">
        <v>130</v>
      </c>
    </row>
    <row r="278" spans="5:9" x14ac:dyDescent="0.25">
      <c r="E278" t="s">
        <v>144</v>
      </c>
      <c r="F278" s="112">
        <f>F257+F263</f>
        <v>843614999</v>
      </c>
      <c r="G278" s="112">
        <f>G257+G263</f>
        <v>187806125</v>
      </c>
    </row>
    <row r="279" spans="5:9" x14ac:dyDescent="0.25">
      <c r="E279" t="s">
        <v>145</v>
      </c>
      <c r="F279" s="112">
        <f>F258+F264</f>
        <v>3302203246</v>
      </c>
      <c r="G279" s="112">
        <f>G258+G264</f>
        <v>1700481668</v>
      </c>
    </row>
    <row r="280" spans="5:9" x14ac:dyDescent="0.25">
      <c r="E280" t="s">
        <v>25</v>
      </c>
      <c r="F280" s="112">
        <f>SUM(F278:F279)</f>
        <v>4145818245</v>
      </c>
      <c r="G280" s="112">
        <f>SUM(G278:G279)</f>
        <v>1888287793</v>
      </c>
    </row>
    <row r="284" spans="5:9" ht="18" x14ac:dyDescent="0.25">
      <c r="E284" s="144" t="s">
        <v>146</v>
      </c>
      <c r="F284" s="145" t="s">
        <v>147</v>
      </c>
      <c r="G284" s="146" t="s">
        <v>148</v>
      </c>
      <c r="H284" s="146" t="s">
        <v>149</v>
      </c>
      <c r="I284" s="146" t="s">
        <v>150</v>
      </c>
    </row>
    <row r="285" spans="5:9" x14ac:dyDescent="0.25">
      <c r="E285" s="147" t="s">
        <v>151</v>
      </c>
      <c r="F285" s="148">
        <v>14069055409</v>
      </c>
      <c r="G285" s="148">
        <f>SUM(G286+G287)</f>
        <v>6831780263</v>
      </c>
      <c r="H285" s="148">
        <f>H286+H287</f>
        <v>7237275146</v>
      </c>
      <c r="I285" s="149">
        <f>+G285/F285</f>
        <v>0.48558912196974491</v>
      </c>
    </row>
    <row r="286" spans="5:9" x14ac:dyDescent="0.25">
      <c r="E286" s="147" t="s">
        <v>152</v>
      </c>
      <c r="F286" s="148">
        <v>11455255409</v>
      </c>
      <c r="G286" s="148">
        <v>4217974942</v>
      </c>
      <c r="H286" s="148">
        <f>F286-G286</f>
        <v>7237280467</v>
      </c>
      <c r="I286" s="149">
        <f>+G286/F286</f>
        <v>0.36821308573234274</v>
      </c>
    </row>
    <row r="287" spans="5:9" x14ac:dyDescent="0.25">
      <c r="E287" s="147" t="s">
        <v>153</v>
      </c>
      <c r="F287" s="148">
        <v>2613800000</v>
      </c>
      <c r="G287" s="148">
        <v>2613805321</v>
      </c>
      <c r="H287" s="148">
        <f>F287-G287</f>
        <v>-5321</v>
      </c>
      <c r="I287" s="149">
        <f>+G287/F287</f>
        <v>1.000002035733415</v>
      </c>
    </row>
    <row r="290" spans="5:6" x14ac:dyDescent="0.25">
      <c r="E290" s="150" t="s">
        <v>22</v>
      </c>
      <c r="F290" s="151" t="s">
        <v>154</v>
      </c>
    </row>
    <row r="291" spans="5:6" x14ac:dyDescent="0.25">
      <c r="E291" s="152" t="s">
        <v>155</v>
      </c>
      <c r="F291" s="153">
        <v>14069055409</v>
      </c>
    </row>
    <row r="292" spans="5:6" x14ac:dyDescent="0.25">
      <c r="E292" s="152" t="s">
        <v>152</v>
      </c>
      <c r="F292" s="154">
        <v>6317665849</v>
      </c>
    </row>
    <row r="293" spans="5:6" x14ac:dyDescent="0.25">
      <c r="E293" s="152" t="s">
        <v>153</v>
      </c>
      <c r="F293" s="154">
        <v>2613806085.4499998</v>
      </c>
    </row>
    <row r="294" spans="5:6" x14ac:dyDescent="0.25">
      <c r="E294" s="155" t="s">
        <v>156</v>
      </c>
      <c r="F294" s="156">
        <f>+F292+F293</f>
        <v>8931471934.4500008</v>
      </c>
    </row>
    <row r="295" spans="5:6" x14ac:dyDescent="0.25">
      <c r="E295" s="152" t="s">
        <v>157</v>
      </c>
      <c r="F295" s="157">
        <f>+F291-F294</f>
        <v>5137583474.5499992</v>
      </c>
    </row>
    <row r="296" spans="5:6" x14ac:dyDescent="0.25">
      <c r="E296" s="152" t="s">
        <v>158</v>
      </c>
      <c r="F296" s="158">
        <f>+F295/F291</f>
        <v>0.36516904121818144</v>
      </c>
    </row>
    <row r="297" spans="5:6" x14ac:dyDescent="0.25">
      <c r="E297" s="159"/>
      <c r="F297" s="160"/>
    </row>
    <row r="298" spans="5:6" x14ac:dyDescent="0.25">
      <c r="E298" s="5" t="s">
        <v>159</v>
      </c>
      <c r="F298" s="161">
        <f>+F294/F291</f>
        <v>0.63483095878181861</v>
      </c>
    </row>
    <row r="306" spans="5:9" ht="15.75" thickBot="1" x14ac:dyDescent="0.3"/>
    <row r="307" spans="5:9" ht="16.5" thickBot="1" x14ac:dyDescent="0.3">
      <c r="E307" s="162" t="s">
        <v>160</v>
      </c>
      <c r="F307" s="162" t="s">
        <v>85</v>
      </c>
      <c r="G307" s="162" t="s">
        <v>84</v>
      </c>
      <c r="I307" s="163"/>
    </row>
    <row r="308" spans="5:9" ht="15.75" thickBot="1" x14ac:dyDescent="0.3">
      <c r="E308" s="164">
        <f>F308+G308</f>
        <v>31137602689</v>
      </c>
      <c r="F308" s="164">
        <v>9527878647</v>
      </c>
      <c r="G308" s="164">
        <v>21609724042</v>
      </c>
      <c r="I308" s="165"/>
    </row>
    <row r="309" spans="5:9" ht="15.75" thickBot="1" x14ac:dyDescent="0.3">
      <c r="E309" s="166" t="s">
        <v>161</v>
      </c>
      <c r="F309" s="164">
        <f>F308*15%</f>
        <v>1429181797.05</v>
      </c>
      <c r="G309" s="164">
        <f>G308*2%</f>
        <v>432194480.84000003</v>
      </c>
      <c r="H309" s="15">
        <f>SUM(F309:G309)</f>
        <v>1861376277.8899999</v>
      </c>
      <c r="I309" s="167"/>
    </row>
    <row r="310" spans="5:9" ht="15.75" thickBot="1" x14ac:dyDescent="0.3">
      <c r="E310" s="168"/>
      <c r="F310" s="164"/>
      <c r="G310" s="164"/>
      <c r="I310" s="167"/>
    </row>
    <row r="311" spans="5:9" ht="32.25" thickBot="1" x14ac:dyDescent="0.3">
      <c r="E311" s="169" t="s">
        <v>162</v>
      </c>
      <c r="F311" s="162" t="s">
        <v>85</v>
      </c>
      <c r="G311" s="162" t="s">
        <v>84</v>
      </c>
      <c r="H311" s="162" t="s">
        <v>25</v>
      </c>
      <c r="I311" s="169" t="s">
        <v>163</v>
      </c>
    </row>
    <row r="312" spans="5:9" ht="16.5" thickBot="1" x14ac:dyDescent="0.3">
      <c r="E312" s="170" t="s">
        <v>164</v>
      </c>
      <c r="F312" s="171">
        <f>4899622886-999053566</f>
        <v>3900569320</v>
      </c>
      <c r="G312" s="171">
        <f>901274724-43648500</f>
        <v>857626224</v>
      </c>
      <c r="H312" s="171">
        <f>F312+G312</f>
        <v>4758195544</v>
      </c>
      <c r="I312" s="172">
        <f>H312</f>
        <v>4758195544</v>
      </c>
    </row>
    <row r="313" spans="5:9" ht="16.5" thickBot="1" x14ac:dyDescent="0.3">
      <c r="E313" s="170" t="s">
        <v>165</v>
      </c>
      <c r="F313" s="173">
        <f>F312/F308</f>
        <v>0.40938486566767457</v>
      </c>
      <c r="G313" s="173">
        <f>G312/G308</f>
        <v>3.9687051178124433E-2</v>
      </c>
      <c r="H313" s="173">
        <f>H312/E308</f>
        <v>0.15281187802171201</v>
      </c>
      <c r="I313" s="173">
        <f>I312/H312</f>
        <v>1</v>
      </c>
    </row>
    <row r="314" spans="5:9" ht="16.5" thickBot="1" x14ac:dyDescent="0.3">
      <c r="E314" s="170" t="s">
        <v>166</v>
      </c>
      <c r="F314" s="174">
        <f>F309-F312</f>
        <v>-2471387522.9499998</v>
      </c>
      <c r="G314" s="174">
        <f>G309-G312</f>
        <v>-425431743.15999997</v>
      </c>
      <c r="H314" s="174">
        <f>H309-H312</f>
        <v>-2896819266.1100001</v>
      </c>
      <c r="I314" s="173"/>
    </row>
    <row r="315" spans="5:9" ht="32.25" thickBot="1" x14ac:dyDescent="0.3">
      <c r="E315" s="175" t="s">
        <v>167</v>
      </c>
      <c r="F315" s="176" t="s">
        <v>85</v>
      </c>
      <c r="G315" s="176" t="s">
        <v>84</v>
      </c>
      <c r="H315" s="176" t="s">
        <v>25</v>
      </c>
      <c r="I315" s="175" t="s">
        <v>168</v>
      </c>
    </row>
    <row r="316" spans="5:9" ht="16.5" thickBot="1" x14ac:dyDescent="0.3">
      <c r="E316" s="170" t="s">
        <v>169</v>
      </c>
      <c r="F316" s="171">
        <f>103062128+999053566</f>
        <v>1102115694</v>
      </c>
      <c r="G316" s="171">
        <f>130146400+43648500</f>
        <v>173794900</v>
      </c>
      <c r="H316" s="171">
        <f>F316+G316</f>
        <v>1275910594</v>
      </c>
      <c r="I316" s="172">
        <f>H316</f>
        <v>1275910594</v>
      </c>
    </row>
    <row r="317" spans="5:9" ht="32.25" thickBot="1" x14ac:dyDescent="0.3">
      <c r="E317" s="170" t="s">
        <v>170</v>
      </c>
      <c r="F317" s="173">
        <f>F316/F308</f>
        <v>0.11567272578004739</v>
      </c>
      <c r="G317" s="173">
        <f>G316/G308</f>
        <v>8.0424395823943673E-3</v>
      </c>
      <c r="H317" s="173">
        <f>H316/E308</f>
        <v>4.0976519828571832E-2</v>
      </c>
      <c r="I317" s="173">
        <f>I316/H316</f>
        <v>1</v>
      </c>
    </row>
    <row r="325" spans="5:9" ht="15.75" x14ac:dyDescent="0.25">
      <c r="E325" s="246" t="s">
        <v>171</v>
      </c>
      <c r="F325" s="247"/>
      <c r="G325" s="247"/>
      <c r="H325" s="248"/>
    </row>
    <row r="326" spans="5:9" ht="31.5" x14ac:dyDescent="0.25">
      <c r="E326" s="18" t="s">
        <v>22</v>
      </c>
      <c r="F326" s="3" t="s">
        <v>23</v>
      </c>
      <c r="G326" s="3" t="s">
        <v>24</v>
      </c>
      <c r="H326" s="18" t="s">
        <v>25</v>
      </c>
    </row>
    <row r="327" spans="5:9" ht="15.75" x14ac:dyDescent="0.25">
      <c r="E327" s="19" t="s">
        <v>26</v>
      </c>
      <c r="F327" s="20">
        <v>11301203537</v>
      </c>
      <c r="G327" s="20">
        <v>10272626016</v>
      </c>
      <c r="H327" s="20">
        <f>+F327+G327</f>
        <v>21573829553</v>
      </c>
    </row>
    <row r="328" spans="5:9" ht="15.75" x14ac:dyDescent="0.25">
      <c r="E328" s="19" t="s">
        <v>27</v>
      </c>
      <c r="F328" s="20">
        <v>2907398550</v>
      </c>
      <c r="G328" s="20">
        <v>5485201514</v>
      </c>
      <c r="H328" s="20">
        <f>+F328+G328</f>
        <v>8392600064</v>
      </c>
    </row>
    <row r="329" spans="5:9" ht="15.75" x14ac:dyDescent="0.25">
      <c r="E329" s="1" t="s">
        <v>19</v>
      </c>
      <c r="F329" s="21">
        <f>+F327+F328</f>
        <v>14208602087</v>
      </c>
      <c r="G329" s="21">
        <f>+G327+G328</f>
        <v>15757827530</v>
      </c>
      <c r="H329" s="21">
        <f>+H327+H328</f>
        <v>29966429617</v>
      </c>
    </row>
    <row r="332" spans="5:9" ht="15.75" x14ac:dyDescent="0.25">
      <c r="E332" s="240" t="s">
        <v>225</v>
      </c>
      <c r="F332" s="241"/>
      <c r="G332" s="241"/>
      <c r="H332" s="241"/>
      <c r="I332" s="242"/>
    </row>
    <row r="333" spans="5:9" ht="31.5" x14ac:dyDescent="0.25">
      <c r="E333" s="18" t="s">
        <v>172</v>
      </c>
      <c r="F333" s="3" t="s">
        <v>224</v>
      </c>
      <c r="G333" s="3" t="s">
        <v>219</v>
      </c>
      <c r="H333" s="3" t="s">
        <v>173</v>
      </c>
      <c r="I333" s="3" t="s">
        <v>174</v>
      </c>
    </row>
    <row r="334" spans="5:9" ht="15.75" x14ac:dyDescent="0.25">
      <c r="E334" s="19" t="s">
        <v>26</v>
      </c>
      <c r="F334" s="20">
        <v>16627017575</v>
      </c>
      <c r="G334" s="20">
        <v>19516364723</v>
      </c>
      <c r="H334" s="20">
        <f>+G334-F334</f>
        <v>2889347148</v>
      </c>
      <c r="I334" s="183">
        <f>+H334/G334</f>
        <v>0.14804740478101999</v>
      </c>
    </row>
    <row r="335" spans="5:9" ht="15.75" x14ac:dyDescent="0.25">
      <c r="E335" s="19" t="s">
        <v>27</v>
      </c>
      <c r="F335" s="20">
        <v>2717000000</v>
      </c>
      <c r="G335" s="20">
        <v>3401545370</v>
      </c>
      <c r="H335" s="20">
        <f>+G335-F335</f>
        <v>684545370</v>
      </c>
      <c r="I335" s="183">
        <f>+H335/G335</f>
        <v>0.20124540335030133</v>
      </c>
    </row>
    <row r="336" spans="5:9" ht="15.75" x14ac:dyDescent="0.25">
      <c r="E336" s="177" t="s">
        <v>19</v>
      </c>
      <c r="F336" s="21">
        <f>+F334+F335</f>
        <v>19344017575</v>
      </c>
      <c r="G336" s="21">
        <f>+G334+G335</f>
        <v>22917910093</v>
      </c>
      <c r="H336" s="21">
        <f>+H334+H335</f>
        <v>3573892518</v>
      </c>
      <c r="I336" s="178"/>
    </row>
    <row r="342" spans="5:9" ht="15.75" x14ac:dyDescent="0.25">
      <c r="E342" s="240" t="s">
        <v>225</v>
      </c>
      <c r="F342" s="241"/>
      <c r="G342" s="241"/>
      <c r="H342" s="241"/>
      <c r="I342" s="242"/>
    </row>
    <row r="343" spans="5:9" ht="31.5" x14ac:dyDescent="0.25">
      <c r="E343" s="18" t="s">
        <v>172</v>
      </c>
      <c r="F343" s="3" t="s">
        <v>226</v>
      </c>
      <c r="G343" s="3" t="s">
        <v>227</v>
      </c>
      <c r="H343" s="3" t="s">
        <v>173</v>
      </c>
      <c r="I343" s="3" t="s">
        <v>174</v>
      </c>
    </row>
    <row r="344" spans="5:9" ht="15.75" x14ac:dyDescent="0.25">
      <c r="E344" s="19" t="s">
        <v>26</v>
      </c>
      <c r="F344" s="20">
        <v>11117695055</v>
      </c>
      <c r="G344" s="20">
        <f>+F76</f>
        <v>13962423033</v>
      </c>
      <c r="H344" s="20">
        <f>+G344-F344</f>
        <v>2844727978</v>
      </c>
      <c r="I344" s="183">
        <f>+H344/G344</f>
        <v>0.20374171240024194</v>
      </c>
    </row>
    <row r="345" spans="5:9" ht="15.75" x14ac:dyDescent="0.25">
      <c r="E345" s="19" t="s">
        <v>27</v>
      </c>
      <c r="F345" s="20">
        <v>5775290121</v>
      </c>
      <c r="G345" s="20">
        <f>+F77</f>
        <v>4782526100</v>
      </c>
      <c r="H345" s="20">
        <f>+G345-F345</f>
        <v>-992764021</v>
      </c>
      <c r="I345" s="183">
        <f>+H345/G345</f>
        <v>-0.20758151659642798</v>
      </c>
    </row>
    <row r="346" spans="5:9" ht="15.75" x14ac:dyDescent="0.25">
      <c r="E346" s="177" t="s">
        <v>19</v>
      </c>
      <c r="F346" s="21">
        <f>+F344+F345</f>
        <v>16892985176</v>
      </c>
      <c r="G346" s="21">
        <f>+G344+G345</f>
        <v>18744949133</v>
      </c>
      <c r="H346" s="21">
        <f>+H344+H345</f>
        <v>1851963957</v>
      </c>
      <c r="I346" s="178"/>
    </row>
    <row r="357" spans="5:14" ht="15.75" x14ac:dyDescent="0.25">
      <c r="E357" s="18" t="s">
        <v>222</v>
      </c>
      <c r="F357" s="25" t="s">
        <v>10</v>
      </c>
      <c r="G357" s="25" t="s">
        <v>11</v>
      </c>
      <c r="H357" s="25" t="s">
        <v>12</v>
      </c>
    </row>
    <row r="358" spans="5:14" ht="15.75" x14ac:dyDescent="0.25">
      <c r="E358" s="8" t="s">
        <v>13</v>
      </c>
      <c r="F358" s="26">
        <v>0</v>
      </c>
      <c r="G358" s="26">
        <v>0</v>
      </c>
      <c r="H358" s="26">
        <v>0</v>
      </c>
      <c r="I358" s="15"/>
    </row>
    <row r="359" spans="5:14" ht="15.75" x14ac:dyDescent="0.25">
      <c r="E359" s="8" t="s">
        <v>32</v>
      </c>
      <c r="F359" s="26">
        <v>7448760041</v>
      </c>
      <c r="G359" s="26">
        <v>0</v>
      </c>
      <c r="H359" s="26">
        <v>0</v>
      </c>
      <c r="I359" s="15"/>
    </row>
    <row r="360" spans="5:14" ht="15.75" x14ac:dyDescent="0.25">
      <c r="E360" s="8" t="s">
        <v>33</v>
      </c>
      <c r="F360" s="26">
        <v>192031500</v>
      </c>
      <c r="G360" s="26">
        <v>0</v>
      </c>
      <c r="H360" s="26">
        <v>0</v>
      </c>
    </row>
    <row r="361" spans="5:14" ht="15.75" x14ac:dyDescent="0.25">
      <c r="E361" s="8" t="s">
        <v>34</v>
      </c>
      <c r="F361" s="26">
        <v>0</v>
      </c>
      <c r="G361" s="26">
        <v>0</v>
      </c>
      <c r="H361" s="26">
        <v>0</v>
      </c>
    </row>
    <row r="362" spans="5:14" ht="15.75" x14ac:dyDescent="0.25">
      <c r="E362" s="8" t="s">
        <v>35</v>
      </c>
      <c r="F362" s="26">
        <v>19606248</v>
      </c>
      <c r="G362" s="26">
        <v>0</v>
      </c>
      <c r="H362" s="26">
        <v>0</v>
      </c>
    </row>
    <row r="363" spans="5:14" ht="15.75" x14ac:dyDescent="0.25">
      <c r="E363" s="8" t="s">
        <v>18</v>
      </c>
      <c r="F363" s="26">
        <v>3812615847.5699997</v>
      </c>
      <c r="G363" s="26">
        <v>0</v>
      </c>
      <c r="H363" s="26">
        <v>0</v>
      </c>
    </row>
    <row r="364" spans="5:14" ht="15.75" x14ac:dyDescent="0.25">
      <c r="E364" s="12" t="s">
        <v>19</v>
      </c>
      <c r="F364" s="13">
        <f>SUM(F358:F363)</f>
        <v>11473013636.57</v>
      </c>
      <c r="G364" s="13">
        <f>SUM(G358:G363)</f>
        <v>0</v>
      </c>
      <c r="H364" s="13">
        <f>SUM(H358:H363)</f>
        <v>0</v>
      </c>
    </row>
    <row r="365" spans="5:14" x14ac:dyDescent="0.25">
      <c r="G365" s="209">
        <f>+G364/$F$364</f>
        <v>0</v>
      </c>
      <c r="H365" s="209">
        <f>+H364/$F$364</f>
        <v>0</v>
      </c>
    </row>
    <row r="367" spans="5:14" ht="15.75" x14ac:dyDescent="0.25">
      <c r="E367" s="18" t="s">
        <v>223</v>
      </c>
      <c r="F367" s="25" t="s">
        <v>11</v>
      </c>
      <c r="G367" s="25" t="s">
        <v>12</v>
      </c>
      <c r="J367" s="18" t="s">
        <v>231</v>
      </c>
      <c r="K367" s="25" t="s">
        <v>230</v>
      </c>
      <c r="L367" s="25" t="s">
        <v>220</v>
      </c>
      <c r="M367" s="25" t="s">
        <v>180</v>
      </c>
      <c r="N367" s="25" t="s">
        <v>179</v>
      </c>
    </row>
    <row r="368" spans="5:14" ht="15.75" x14ac:dyDescent="0.25">
      <c r="E368" s="8" t="s">
        <v>13</v>
      </c>
      <c r="F368" s="26">
        <v>460399</v>
      </c>
      <c r="G368" s="26">
        <v>0</v>
      </c>
      <c r="J368" s="8" t="s">
        <v>177</v>
      </c>
      <c r="K368" s="26">
        <v>1968292685.1799998</v>
      </c>
      <c r="L368" s="26">
        <v>4594515959.3499985</v>
      </c>
      <c r="M368" s="26">
        <f>K368-L368</f>
        <v>-2626223274.1699986</v>
      </c>
      <c r="N368" s="183">
        <f>(L368-K368)/(K368)*100%</f>
        <v>1.334264611124047</v>
      </c>
    </row>
    <row r="369" spans="5:14" ht="15.75" x14ac:dyDescent="0.25">
      <c r="E369" s="8" t="s">
        <v>32</v>
      </c>
      <c r="F369" s="26">
        <v>4628168</v>
      </c>
      <c r="G369" s="26">
        <v>0</v>
      </c>
      <c r="J369" s="8" t="s">
        <v>95</v>
      </c>
      <c r="K369" s="26">
        <v>19030356710</v>
      </c>
      <c r="L369" s="26">
        <v>17577625897</v>
      </c>
      <c r="M369" s="26">
        <f>K369-L369</f>
        <v>1452730813</v>
      </c>
      <c r="N369" s="183">
        <f t="shared" ref="N369:N370" si="10">(L369-K369)/(K369)*100%</f>
        <v>-7.6337550322250369E-2</v>
      </c>
    </row>
    <row r="370" spans="5:14" ht="15.75" x14ac:dyDescent="0.25">
      <c r="E370" s="8" t="s">
        <v>33</v>
      </c>
      <c r="F370" s="26">
        <v>0</v>
      </c>
      <c r="G370" s="26">
        <v>0</v>
      </c>
      <c r="J370" s="8" t="s">
        <v>12</v>
      </c>
      <c r="K370" s="26">
        <v>16405099964.830002</v>
      </c>
      <c r="L370" s="26">
        <v>16037102681.68</v>
      </c>
      <c r="M370" s="26">
        <f t="shared" ref="M370" si="11">K370-L370</f>
        <v>367997283.15000153</v>
      </c>
      <c r="N370" s="183">
        <f t="shared" si="10"/>
        <v>-2.2431883008267602E-2</v>
      </c>
    </row>
    <row r="371" spans="5:14" ht="15.75" x14ac:dyDescent="0.25">
      <c r="E371" s="8" t="s">
        <v>34</v>
      </c>
      <c r="F371" s="26">
        <v>0</v>
      </c>
      <c r="G371" s="26">
        <v>0</v>
      </c>
      <c r="J371" s="12" t="s">
        <v>178</v>
      </c>
      <c r="K371" s="203">
        <f>+K368+K369-K370</f>
        <v>4593549430.3499985</v>
      </c>
      <c r="L371" s="203">
        <f>+L368+L369-L370</f>
        <v>6135039174.6699982</v>
      </c>
      <c r="M371" s="203">
        <f>+M368+M369-M370</f>
        <v>-1541489744.3200002</v>
      </c>
      <c r="N371" s="184">
        <f>+N368+N369-N370</f>
        <v>1.2803589438100644</v>
      </c>
    </row>
    <row r="372" spans="5:14" ht="15.75" x14ac:dyDescent="0.25">
      <c r="E372" s="8" t="s">
        <v>35</v>
      </c>
      <c r="F372" s="26">
        <v>0</v>
      </c>
      <c r="G372" s="26">
        <v>0</v>
      </c>
    </row>
    <row r="373" spans="5:14" ht="15.75" x14ac:dyDescent="0.25">
      <c r="E373" s="8" t="s">
        <v>18</v>
      </c>
      <c r="F373" s="26">
        <v>0</v>
      </c>
      <c r="G373" s="26">
        <v>0</v>
      </c>
    </row>
    <row r="374" spans="5:14" ht="15.75" x14ac:dyDescent="0.25">
      <c r="E374" s="12" t="s">
        <v>19</v>
      </c>
      <c r="F374" s="13">
        <f>SUM(F368:F373)</f>
        <v>5088567</v>
      </c>
      <c r="G374" s="13">
        <f>SUM(G368:G373)</f>
        <v>0</v>
      </c>
    </row>
    <row r="375" spans="5:14" x14ac:dyDescent="0.25">
      <c r="G375" s="209">
        <f>+G374/F374</f>
        <v>0</v>
      </c>
    </row>
    <row r="378" spans="5:14" ht="38.25" x14ac:dyDescent="0.25">
      <c r="E378" s="228" t="s">
        <v>22</v>
      </c>
      <c r="F378" s="228" t="s">
        <v>181</v>
      </c>
      <c r="G378" s="186" t="s">
        <v>182</v>
      </c>
      <c r="H378" s="186" t="s">
        <v>19</v>
      </c>
      <c r="I378" s="186" t="s">
        <v>183</v>
      </c>
      <c r="J378" s="186" t="s">
        <v>184</v>
      </c>
      <c r="K378" s="186" t="s">
        <v>185</v>
      </c>
    </row>
    <row r="379" spans="5:14" x14ac:dyDescent="0.25">
      <c r="E379" s="187" t="s">
        <v>152</v>
      </c>
      <c r="F379" s="191">
        <f>+F380+F381+F382+F383+F384+F385</f>
        <v>18277877663</v>
      </c>
      <c r="G379" s="191">
        <f t="shared" ref="G379:K379" si="12">+G380+G381+G382+G383+G384+G385</f>
        <v>0</v>
      </c>
      <c r="H379" s="191">
        <f>+F379+G379</f>
        <v>18277877663</v>
      </c>
      <c r="I379" s="199">
        <f t="shared" si="12"/>
        <v>0.97508280941783232</v>
      </c>
      <c r="J379" s="191">
        <f>+J380+J381+J382+J383+J384+J385</f>
        <v>18236292148.549999</v>
      </c>
      <c r="K379" s="199">
        <f t="shared" si="12"/>
        <v>0.97286431769747916</v>
      </c>
    </row>
    <row r="380" spans="5:14" x14ac:dyDescent="0.25">
      <c r="E380" s="188" t="s">
        <v>186</v>
      </c>
      <c r="F380" s="190">
        <v>17077877663</v>
      </c>
      <c r="G380" s="190">
        <v>0</v>
      </c>
      <c r="H380" s="190">
        <f>+F380+G380</f>
        <v>17077877663</v>
      </c>
      <c r="I380" s="200">
        <f>+H380/H390</f>
        <v>0.91106556447970488</v>
      </c>
      <c r="J380" s="190">
        <v>17109893148.549999</v>
      </c>
      <c r="K380" s="200">
        <f>+J380/$H$390</f>
        <v>0.91277351712992771</v>
      </c>
    </row>
    <row r="381" spans="5:14" x14ac:dyDescent="0.25">
      <c r="E381" s="188" t="s">
        <v>187</v>
      </c>
      <c r="F381" s="190"/>
      <c r="G381" s="190">
        <v>0</v>
      </c>
      <c r="H381" s="190">
        <f t="shared" ref="H381:H390" si="13">+F381+G381</f>
        <v>0</v>
      </c>
      <c r="I381" s="201"/>
      <c r="J381" s="190"/>
      <c r="K381" s="200">
        <f t="shared" ref="K381:K383" si="14">+J381/$H$390</f>
        <v>0</v>
      </c>
    </row>
    <row r="382" spans="5:14" x14ac:dyDescent="0.25">
      <c r="E382" s="188" t="s">
        <v>188</v>
      </c>
      <c r="F382" s="190"/>
      <c r="G382" s="190">
        <v>0</v>
      </c>
      <c r="H382" s="190">
        <f t="shared" si="13"/>
        <v>0</v>
      </c>
      <c r="I382" s="201"/>
      <c r="J382" s="190"/>
      <c r="K382" s="200">
        <f t="shared" si="14"/>
        <v>0</v>
      </c>
    </row>
    <row r="383" spans="5:14" x14ac:dyDescent="0.25">
      <c r="E383" s="188" t="s">
        <v>189</v>
      </c>
      <c r="F383" s="190"/>
      <c r="G383" s="190">
        <v>0</v>
      </c>
      <c r="H383" s="190">
        <f t="shared" si="13"/>
        <v>0</v>
      </c>
      <c r="I383" s="201"/>
      <c r="J383" s="190"/>
      <c r="K383" s="200">
        <f t="shared" si="14"/>
        <v>0</v>
      </c>
    </row>
    <row r="384" spans="5:14" x14ac:dyDescent="0.25">
      <c r="E384" s="188" t="s">
        <v>190</v>
      </c>
      <c r="F384" s="190">
        <v>1200000000</v>
      </c>
      <c r="G384" s="190">
        <v>0</v>
      </c>
      <c r="H384" s="190">
        <f t="shared" si="13"/>
        <v>1200000000</v>
      </c>
      <c r="I384" s="212">
        <f>+H384/H390</f>
        <v>6.401724493812741E-2</v>
      </c>
      <c r="J384" s="190">
        <v>1126399000</v>
      </c>
      <c r="K384" s="200">
        <f>+J384/$H$390</f>
        <v>6.0090800567551478E-2</v>
      </c>
    </row>
    <row r="385" spans="5:11" x14ac:dyDescent="0.25">
      <c r="E385" s="189" t="s">
        <v>191</v>
      </c>
      <c r="F385" s="190"/>
      <c r="G385" s="190">
        <v>0</v>
      </c>
      <c r="H385" s="190">
        <f t="shared" si="13"/>
        <v>0</v>
      </c>
      <c r="I385" s="201"/>
      <c r="J385" s="190"/>
      <c r="K385" s="200">
        <f>+J385/H390</f>
        <v>0</v>
      </c>
    </row>
    <row r="386" spans="5:11" x14ac:dyDescent="0.25">
      <c r="E386" s="187" t="s">
        <v>153</v>
      </c>
      <c r="F386" s="191">
        <f>+F387+F388+F389</f>
        <v>467071470</v>
      </c>
      <c r="G386" s="191">
        <f t="shared" ref="G386:K386" si="15">+G387+G388+G389</f>
        <v>0</v>
      </c>
      <c r="H386" s="191">
        <f t="shared" si="15"/>
        <v>467071470</v>
      </c>
      <c r="I386" s="199">
        <f t="shared" si="15"/>
        <v>2.4917190582167691E-2</v>
      </c>
      <c r="J386" s="191">
        <f>+J387+J388</f>
        <v>467113559.20999998</v>
      </c>
      <c r="K386" s="199">
        <f t="shared" si="15"/>
        <v>2.5868426250159407E-2</v>
      </c>
    </row>
    <row r="387" spans="5:11" x14ac:dyDescent="0.25">
      <c r="E387" s="189" t="s">
        <v>192</v>
      </c>
      <c r="F387" s="190">
        <v>467071470</v>
      </c>
      <c r="G387" s="190">
        <v>0</v>
      </c>
      <c r="H387" s="190">
        <f t="shared" si="13"/>
        <v>467071470</v>
      </c>
      <c r="I387" s="200">
        <f>+H387/H390</f>
        <v>2.4917190582167691E-2</v>
      </c>
      <c r="J387" s="190">
        <v>467071470</v>
      </c>
      <c r="K387" s="200">
        <f>+J387/$H$390</f>
        <v>2.4917190582167691E-2</v>
      </c>
    </row>
    <row r="388" spans="5:11" x14ac:dyDescent="0.25">
      <c r="E388" s="189" t="s">
        <v>193</v>
      </c>
      <c r="F388" s="190"/>
      <c r="G388" s="190">
        <v>0</v>
      </c>
      <c r="H388" s="190">
        <f t="shared" si="13"/>
        <v>0</v>
      </c>
      <c r="I388" s="201"/>
      <c r="J388" s="190">
        <v>42089.21</v>
      </c>
      <c r="K388" s="200">
        <f>+J388/$H$390</f>
        <v>2.2453627215185679E-6</v>
      </c>
    </row>
    <row r="389" spans="5:11" x14ac:dyDescent="0.25">
      <c r="E389" s="189" t="s">
        <v>194</v>
      </c>
      <c r="F389" s="190"/>
      <c r="G389" s="190">
        <v>0</v>
      </c>
      <c r="H389" s="190">
        <f t="shared" si="13"/>
        <v>0</v>
      </c>
      <c r="I389" s="201"/>
      <c r="J389" s="190">
        <v>17788775</v>
      </c>
      <c r="K389" s="200">
        <f t="shared" ref="K389" si="16">+J389/$H$390</f>
        <v>9.4899030527019783E-4</v>
      </c>
    </row>
    <row r="390" spans="5:11" ht="15.75" x14ac:dyDescent="0.25">
      <c r="E390" s="187" t="s">
        <v>103</v>
      </c>
      <c r="F390" s="191">
        <f>+F379+F386</f>
        <v>18744949133</v>
      </c>
      <c r="G390" s="192"/>
      <c r="H390" s="191">
        <f t="shared" si="13"/>
        <v>18744949133</v>
      </c>
      <c r="I390" s="199">
        <f>+I379+I386</f>
        <v>1</v>
      </c>
      <c r="J390" s="191">
        <f>+J379+J386</f>
        <v>18703405707.759998</v>
      </c>
      <c r="K390" s="199">
        <f>+K379+K386</f>
        <v>0.99873274394763856</v>
      </c>
    </row>
    <row r="392" spans="5:11" x14ac:dyDescent="0.25">
      <c r="J392" s="217"/>
      <c r="K392" s="206"/>
    </row>
    <row r="394" spans="5:11" ht="25.5" x14ac:dyDescent="0.25">
      <c r="E394" s="228" t="s">
        <v>22</v>
      </c>
      <c r="F394" s="186" t="s">
        <v>232</v>
      </c>
      <c r="G394" s="186" t="s">
        <v>221</v>
      </c>
      <c r="H394" s="186" t="s">
        <v>195</v>
      </c>
      <c r="I394" s="186" t="s">
        <v>159</v>
      </c>
    </row>
    <row r="395" spans="5:11" x14ac:dyDescent="0.25">
      <c r="E395" s="187" t="s">
        <v>152</v>
      </c>
      <c r="F395" s="191">
        <f t="shared" ref="F395:H395" si="17">+F396+F397+F398+F399+F400+F401</f>
        <v>17123490254.290001</v>
      </c>
      <c r="G395" s="191">
        <f t="shared" si="17"/>
        <v>18236292148.549999</v>
      </c>
      <c r="H395" s="191">
        <f t="shared" si="17"/>
        <v>1112801894.2599983</v>
      </c>
      <c r="I395" s="216">
        <f>+(G395-F395)/F395</f>
        <v>6.4986861774935442E-2</v>
      </c>
    </row>
    <row r="396" spans="5:11" x14ac:dyDescent="0.25">
      <c r="E396" s="188" t="s">
        <v>186</v>
      </c>
      <c r="F396" s="204">
        <v>16385547110.290001</v>
      </c>
      <c r="G396" s="190">
        <f>+J380</f>
        <v>17109893148.549999</v>
      </c>
      <c r="H396" s="190">
        <f>+G396-F396</f>
        <v>724346038.25999832</v>
      </c>
      <c r="I396" s="194">
        <f>+(G396-F396)/F396</f>
        <v>4.420639929716564E-2</v>
      </c>
    </row>
    <row r="397" spans="5:11" x14ac:dyDescent="0.25">
      <c r="E397" s="188" t="s">
        <v>187</v>
      </c>
      <c r="F397" s="190"/>
      <c r="G397" s="190"/>
      <c r="H397" s="190">
        <f t="shared" ref="H397:H401" si="18">+G397-F397</f>
        <v>0</v>
      </c>
      <c r="I397" s="194">
        <v>0</v>
      </c>
    </row>
    <row r="398" spans="5:11" x14ac:dyDescent="0.25">
      <c r="E398" s="188" t="s">
        <v>188</v>
      </c>
      <c r="F398" s="190"/>
      <c r="G398" s="190"/>
      <c r="H398" s="190">
        <f t="shared" si="18"/>
        <v>0</v>
      </c>
      <c r="I398" s="194">
        <v>0</v>
      </c>
    </row>
    <row r="399" spans="5:11" x14ac:dyDescent="0.25">
      <c r="E399" s="188" t="s">
        <v>189</v>
      </c>
      <c r="F399" s="190"/>
      <c r="G399" s="190"/>
      <c r="H399" s="190">
        <f t="shared" si="18"/>
        <v>0</v>
      </c>
      <c r="I399" s="194">
        <v>0</v>
      </c>
    </row>
    <row r="400" spans="5:11" x14ac:dyDescent="0.25">
      <c r="E400" s="188" t="s">
        <v>190</v>
      </c>
      <c r="F400" s="190">
        <v>737943144</v>
      </c>
      <c r="G400" s="190">
        <f>+J384</f>
        <v>1126399000</v>
      </c>
      <c r="H400" s="190">
        <f t="shared" si="18"/>
        <v>388455856</v>
      </c>
      <c r="I400" s="194">
        <f t="shared" ref="I400:I401" si="19">+(G400-F400)/F400</f>
        <v>0.52640350297773075</v>
      </c>
    </row>
    <row r="401" spans="5:15" x14ac:dyDescent="0.25">
      <c r="E401" s="189" t="s">
        <v>191</v>
      </c>
      <c r="F401" s="190"/>
      <c r="G401" s="190">
        <f>+J385</f>
        <v>0</v>
      </c>
      <c r="H401" s="190">
        <f t="shared" si="18"/>
        <v>0</v>
      </c>
      <c r="I401" s="194" t="e">
        <f t="shared" si="19"/>
        <v>#DIV/0!</v>
      </c>
    </row>
    <row r="402" spans="5:15" x14ac:dyDescent="0.25">
      <c r="E402" s="187" t="s">
        <v>153</v>
      </c>
      <c r="F402" s="191">
        <f t="shared" ref="F402:G402" si="20">+F403+F404+F405</f>
        <v>1119041577.6700001</v>
      </c>
      <c r="G402" s="191">
        <f t="shared" si="20"/>
        <v>484902334.20999998</v>
      </c>
      <c r="H402" s="191">
        <f>+H403+H404</f>
        <v>-651591152.46000004</v>
      </c>
      <c r="I402" s="193">
        <f>+I403+I404+I405</f>
        <v>-0.5824835999534298</v>
      </c>
    </row>
    <row r="403" spans="5:15" x14ac:dyDescent="0.25">
      <c r="E403" s="189" t="s">
        <v>192</v>
      </c>
      <c r="F403" s="190">
        <v>1118690116</v>
      </c>
      <c r="G403" s="190">
        <f>+J387</f>
        <v>467071470</v>
      </c>
      <c r="H403" s="190">
        <f>+G403-F403</f>
        <v>-651618646</v>
      </c>
      <c r="I403" s="194">
        <f t="shared" ref="I403" si="21">+(G403-F403)/F403</f>
        <v>-0.5824835999534298</v>
      </c>
    </row>
    <row r="404" spans="5:15" x14ac:dyDescent="0.25">
      <c r="E404" s="189" t="s">
        <v>193</v>
      </c>
      <c r="F404" s="190">
        <v>14595.67</v>
      </c>
      <c r="G404" s="190">
        <f>+J388</f>
        <v>42089.21</v>
      </c>
      <c r="H404" s="190">
        <f t="shared" ref="H404:H405" si="22">+G404-F404</f>
        <v>27493.54</v>
      </c>
      <c r="I404" s="194">
        <v>0</v>
      </c>
    </row>
    <row r="405" spans="5:15" x14ac:dyDescent="0.25">
      <c r="E405" s="189" t="s">
        <v>194</v>
      </c>
      <c r="F405" s="190">
        <v>336866</v>
      </c>
      <c r="G405" s="190">
        <f>+J389</f>
        <v>17788775</v>
      </c>
      <c r="H405" s="190">
        <f t="shared" si="22"/>
        <v>17451909</v>
      </c>
      <c r="I405" s="194">
        <v>0</v>
      </c>
    </row>
    <row r="406" spans="5:15" x14ac:dyDescent="0.25">
      <c r="E406" s="187" t="s">
        <v>103</v>
      </c>
      <c r="F406" s="191">
        <f>+F395+F402</f>
        <v>18242531831.959999</v>
      </c>
      <c r="G406" s="191">
        <f>+G395+G402</f>
        <v>18721194482.759998</v>
      </c>
      <c r="H406" s="191">
        <f t="shared" ref="H406:I406" si="23">+H395+H402</f>
        <v>461210741.79999828</v>
      </c>
      <c r="I406" s="193">
        <f t="shared" si="23"/>
        <v>-0.5174967381784944</v>
      </c>
    </row>
    <row r="409" spans="5:15" x14ac:dyDescent="0.25">
      <c r="F409" s="206"/>
      <c r="L409" s="196"/>
      <c r="M409" s="196"/>
      <c r="N409" s="196"/>
      <c r="O409" s="195"/>
    </row>
    <row r="410" spans="5:15" ht="31.5" customHeight="1" x14ac:dyDescent="0.25">
      <c r="E410" s="228" t="s">
        <v>196</v>
      </c>
      <c r="F410" s="228" t="s">
        <v>200</v>
      </c>
      <c r="G410" s="186" t="s">
        <v>197</v>
      </c>
    </row>
    <row r="411" spans="5:15" x14ac:dyDescent="0.25">
      <c r="E411" s="188" t="s">
        <v>198</v>
      </c>
      <c r="F411" s="197" t="s">
        <v>201</v>
      </c>
      <c r="G411" s="190">
        <v>761696490</v>
      </c>
    </row>
    <row r="412" spans="5:15" x14ac:dyDescent="0.25">
      <c r="E412" s="188" t="s">
        <v>199</v>
      </c>
      <c r="F412" s="197" t="s">
        <v>201</v>
      </c>
      <c r="G412" s="190">
        <v>901742360</v>
      </c>
    </row>
    <row r="413" spans="5:15" x14ac:dyDescent="0.25">
      <c r="E413" s="237" t="s">
        <v>202</v>
      </c>
      <c r="F413" s="238"/>
      <c r="G413" s="190">
        <f>+G411+G412</f>
        <v>1663438850</v>
      </c>
    </row>
    <row r="416" spans="5:15" ht="25.5" x14ac:dyDescent="0.25">
      <c r="E416" s="228" t="s">
        <v>196</v>
      </c>
      <c r="F416" s="186" t="s">
        <v>197</v>
      </c>
    </row>
    <row r="417" spans="5:7" x14ac:dyDescent="0.25">
      <c r="E417" s="188" t="s">
        <v>203</v>
      </c>
      <c r="F417" s="190">
        <v>3316457</v>
      </c>
    </row>
    <row r="418" spans="5:7" x14ac:dyDescent="0.25">
      <c r="E418" s="188" t="s">
        <v>198</v>
      </c>
      <c r="F418" s="190">
        <v>198792287</v>
      </c>
    </row>
    <row r="419" spans="5:7" x14ac:dyDescent="0.25">
      <c r="E419" s="229" t="s">
        <v>202</v>
      </c>
      <c r="F419" s="191">
        <f>SUM(F417:F418)</f>
        <v>202108744</v>
      </c>
    </row>
    <row r="422" spans="5:7" x14ac:dyDescent="0.25">
      <c r="E422" s="236" t="s">
        <v>204</v>
      </c>
      <c r="F422" s="236"/>
      <c r="G422" s="186" t="s">
        <v>178</v>
      </c>
    </row>
    <row r="423" spans="5:7" x14ac:dyDescent="0.25">
      <c r="E423" s="239" t="s">
        <v>205</v>
      </c>
      <c r="F423" s="239"/>
      <c r="G423" s="190">
        <v>1027583</v>
      </c>
    </row>
    <row r="424" spans="5:7" x14ac:dyDescent="0.25">
      <c r="E424" s="234" t="s">
        <v>206</v>
      </c>
      <c r="F424" s="235"/>
      <c r="G424" s="190">
        <v>129680</v>
      </c>
    </row>
    <row r="425" spans="5:7" x14ac:dyDescent="0.25">
      <c r="E425" s="236" t="s">
        <v>202</v>
      </c>
      <c r="F425" s="236"/>
      <c r="G425" s="191">
        <f>SUM(G423:G424)</f>
        <v>1157263</v>
      </c>
    </row>
    <row r="429" spans="5:7" ht="25.5" x14ac:dyDescent="0.25">
      <c r="E429" s="228" t="s">
        <v>196</v>
      </c>
      <c r="F429" s="186" t="s">
        <v>197</v>
      </c>
    </row>
    <row r="430" spans="5:7" x14ac:dyDescent="0.25">
      <c r="E430" s="188" t="s">
        <v>198</v>
      </c>
      <c r="F430" s="190">
        <v>792652</v>
      </c>
    </row>
    <row r="431" spans="5:7" x14ac:dyDescent="0.25">
      <c r="E431" s="188" t="s">
        <v>210</v>
      </c>
      <c r="F431" s="190"/>
    </row>
    <row r="432" spans="5:7" x14ac:dyDescent="0.25">
      <c r="E432" s="229" t="s">
        <v>202</v>
      </c>
      <c r="F432" s="191">
        <f>SUM(F430:F431)</f>
        <v>792652</v>
      </c>
    </row>
    <row r="448" spans="5:8" ht="15.75" x14ac:dyDescent="0.25">
      <c r="E448" s="18" t="s">
        <v>222</v>
      </c>
      <c r="F448" s="25" t="s">
        <v>10</v>
      </c>
      <c r="G448" s="25" t="s">
        <v>11</v>
      </c>
      <c r="H448" s="25" t="s">
        <v>12</v>
      </c>
    </row>
    <row r="449" spans="5:8" ht="15.75" x14ac:dyDescent="0.25">
      <c r="E449" s="8" t="s">
        <v>13</v>
      </c>
      <c r="F449" s="26">
        <v>0</v>
      </c>
      <c r="G449" s="26">
        <v>0</v>
      </c>
      <c r="H449" s="26">
        <v>0</v>
      </c>
    </row>
    <row r="450" spans="5:8" ht="15.75" x14ac:dyDescent="0.25">
      <c r="E450" s="8" t="s">
        <v>32</v>
      </c>
      <c r="F450" s="26">
        <v>2204140541.1599998</v>
      </c>
      <c r="G450" s="26">
        <v>0</v>
      </c>
      <c r="H450" s="26">
        <v>0</v>
      </c>
    </row>
    <row r="451" spans="5:8" ht="15.75" x14ac:dyDescent="0.25">
      <c r="E451" s="8" t="s">
        <v>33</v>
      </c>
      <c r="F451" s="26">
        <v>29934450</v>
      </c>
      <c r="G451" s="26">
        <v>0</v>
      </c>
      <c r="H451" s="26">
        <v>0</v>
      </c>
    </row>
    <row r="452" spans="5:8" ht="15.75" x14ac:dyDescent="0.25">
      <c r="E452" s="8" t="s">
        <v>34</v>
      </c>
      <c r="F452" s="26">
        <v>0</v>
      </c>
      <c r="G452" s="26">
        <v>0</v>
      </c>
      <c r="H452" s="26">
        <v>0</v>
      </c>
    </row>
    <row r="453" spans="5:8" ht="15.75" x14ac:dyDescent="0.25">
      <c r="E453" s="8" t="s">
        <v>35</v>
      </c>
      <c r="F453" s="26">
        <v>0</v>
      </c>
      <c r="G453" s="26">
        <v>0</v>
      </c>
      <c r="H453" s="26">
        <v>0</v>
      </c>
    </row>
    <row r="454" spans="5:8" ht="15.75" x14ac:dyDescent="0.25">
      <c r="E454" s="8" t="s">
        <v>18</v>
      </c>
      <c r="F454" s="26">
        <v>4634000371.96</v>
      </c>
      <c r="G454" s="26">
        <v>0</v>
      </c>
      <c r="H454" s="26">
        <v>0</v>
      </c>
    </row>
    <row r="455" spans="5:8" ht="15.75" x14ac:dyDescent="0.25">
      <c r="E455" s="12" t="s">
        <v>19</v>
      </c>
      <c r="F455" s="13">
        <f>SUM(F449:F454)</f>
        <v>6868075363.1199999</v>
      </c>
      <c r="G455" s="13">
        <f>SUM(G449:G454)</f>
        <v>0</v>
      </c>
      <c r="H455" s="13">
        <f>SUM(H449:H454)</f>
        <v>0</v>
      </c>
    </row>
    <row r="456" spans="5:8" x14ac:dyDescent="0.25">
      <c r="G456" s="209">
        <f>+G455/$F$364</f>
        <v>0</v>
      </c>
      <c r="H456" s="209">
        <f>+H455/$F$364</f>
        <v>0</v>
      </c>
    </row>
    <row r="458" spans="5:8" ht="15.75" x14ac:dyDescent="0.25">
      <c r="E458" s="18" t="s">
        <v>223</v>
      </c>
      <c r="F458" s="25" t="s">
        <v>11</v>
      </c>
      <c r="G458" s="25" t="s">
        <v>12</v>
      </c>
    </row>
    <row r="459" spans="5:8" ht="15.75" x14ac:dyDescent="0.25">
      <c r="E459" s="8" t="s">
        <v>13</v>
      </c>
      <c r="F459" s="26">
        <v>15681501</v>
      </c>
      <c r="G459" s="26">
        <v>0</v>
      </c>
    </row>
    <row r="460" spans="5:8" ht="15.75" x14ac:dyDescent="0.25">
      <c r="E460" s="8" t="s">
        <v>32</v>
      </c>
      <c r="F460" s="26">
        <v>68703280</v>
      </c>
      <c r="G460" s="26">
        <v>0</v>
      </c>
    </row>
    <row r="461" spans="5:8" ht="15.75" x14ac:dyDescent="0.25">
      <c r="E461" s="8" t="s">
        <v>33</v>
      </c>
      <c r="F461" s="26">
        <v>0</v>
      </c>
      <c r="G461" s="26">
        <v>0</v>
      </c>
    </row>
    <row r="462" spans="5:8" ht="15.75" x14ac:dyDescent="0.25">
      <c r="E462" s="8" t="s">
        <v>34</v>
      </c>
      <c r="F462" s="26">
        <v>0</v>
      </c>
      <c r="G462" s="26">
        <v>0</v>
      </c>
    </row>
    <row r="463" spans="5:8" ht="15.75" x14ac:dyDescent="0.25">
      <c r="E463" s="8" t="s">
        <v>35</v>
      </c>
      <c r="F463" s="26">
        <v>0</v>
      </c>
      <c r="G463" s="26">
        <v>0</v>
      </c>
    </row>
    <row r="464" spans="5:8" ht="15.75" x14ac:dyDescent="0.25">
      <c r="E464" s="8" t="s">
        <v>18</v>
      </c>
      <c r="F464" s="26">
        <v>0</v>
      </c>
      <c r="G464" s="26">
        <v>0</v>
      </c>
    </row>
    <row r="465" spans="5:7" ht="15.75" x14ac:dyDescent="0.25">
      <c r="E465" s="12" t="s">
        <v>19</v>
      </c>
      <c r="F465" s="13">
        <f>SUM(F459:F464)</f>
        <v>84384781</v>
      </c>
      <c r="G465" s="13">
        <f>SUM(G459:G464)</f>
        <v>0</v>
      </c>
    </row>
  </sheetData>
  <mergeCells count="15">
    <mergeCell ref="E423:F423"/>
    <mergeCell ref="E424:F424"/>
    <mergeCell ref="E425:F425"/>
    <mergeCell ref="E232:H232"/>
    <mergeCell ref="E325:H325"/>
    <mergeCell ref="E332:I332"/>
    <mergeCell ref="E342:I342"/>
    <mergeCell ref="E413:F413"/>
    <mergeCell ref="E422:F422"/>
    <mergeCell ref="E15:H15"/>
    <mergeCell ref="E21:H21"/>
    <mergeCell ref="F99:F103"/>
    <mergeCell ref="E198:H198"/>
    <mergeCell ref="E204:H204"/>
    <mergeCell ref="E216:H216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PR. SEPTIEMBRE 2023</vt:lpstr>
      <vt:lpstr>EJECUCIÓN PR. SEPTIEMBRE 20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2023-06-21T16:21:28Z</dcterms:created>
  <dcterms:modified xsi:type="dcterms:W3CDTF">2026-01-22T21:26:00Z</dcterms:modified>
</cp:coreProperties>
</file>